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R:\электроэнергия\Раскрытие информации\РАСКРЫТИЕ ИНФОРМАЦИИ НА САЙТЕ\Агропродукт -ЭСО\2024\"/>
    </mc:Choice>
  </mc:AlternateContent>
  <xr:revisionPtr revIDLastSave="0" documentId="13_ncr:1_{BBABC38E-ECF6-47A2-92BA-4B1E5DA1C7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5" r:id="rId1"/>
    <sheet name="2023" sheetId="14" r:id="rId2"/>
    <sheet name="2022" sheetId="13" r:id="rId3"/>
    <sheet name="2021" sheetId="12" r:id="rId4"/>
    <sheet name="2020" sheetId="11" r:id="rId5"/>
    <sheet name="2019" sheetId="4" r:id="rId6"/>
    <sheet name="2018" sheetId="6" r:id="rId7"/>
    <sheet name="2017" sheetId="7" r:id="rId8"/>
    <sheet name="2016" sheetId="8" r:id="rId9"/>
    <sheet name="2015" sheetId="9" r:id="rId10"/>
    <sheet name="2014" sheetId="1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Excel_BuiltIn_Print_Area_1">#REF!</definedName>
    <definedName name="Excel_BuiltIn_Print_Titles_1">#REF!</definedName>
    <definedName name="ReportObject1_0">#REF!</definedName>
    <definedName name="ReportObject1_1">#REF!</definedName>
    <definedName name="ReportObject1_10">#REF!</definedName>
    <definedName name="ReportObject1_11">#REF!</definedName>
    <definedName name="ReportObject1_12">#REF!</definedName>
    <definedName name="ReportObject1_13">#REF!</definedName>
    <definedName name="ReportObject1_14">#REF!</definedName>
    <definedName name="ReportObject1_15">#REF!</definedName>
    <definedName name="ReportObject1_16">#REF!</definedName>
    <definedName name="ReportObject1_17">#REF!</definedName>
    <definedName name="ReportObject1_18">#REF!</definedName>
    <definedName name="ReportObject1_19">#REF!</definedName>
    <definedName name="ReportObject1_2">#REF!</definedName>
    <definedName name="ReportObject1_20">#REF!</definedName>
    <definedName name="ReportObject1_21">#REF!</definedName>
    <definedName name="ReportObject1_22">#REF!</definedName>
    <definedName name="ReportObject1_23">#REF!</definedName>
    <definedName name="ReportObject1_24">#REF!</definedName>
    <definedName name="ReportObject1_25">#REF!</definedName>
    <definedName name="ReportObject1_26">#REF!</definedName>
    <definedName name="ReportObject1_27">#REF!</definedName>
    <definedName name="ReportObject1_28">#REF!</definedName>
    <definedName name="ReportObject1_29">#REF!</definedName>
    <definedName name="ReportObject1_3">#REF!</definedName>
    <definedName name="ReportObject1_30">#REF!</definedName>
    <definedName name="ReportObject1_31">#REF!</definedName>
    <definedName name="ReportObject1_32">#REF!</definedName>
    <definedName name="ReportObject1_33">#REF!</definedName>
    <definedName name="ReportObject1_34">#REF!</definedName>
    <definedName name="ReportObject1_35">#REF!</definedName>
    <definedName name="ReportObject1_36">#REF!</definedName>
    <definedName name="ReportObject1_37">#REF!</definedName>
    <definedName name="ReportObject1_38">#REF!</definedName>
    <definedName name="ReportObject1_39">#REF!</definedName>
    <definedName name="ReportObject1_4">#REF!</definedName>
    <definedName name="ReportObject1_40">#REF!</definedName>
    <definedName name="ReportObject1_41">#REF!</definedName>
    <definedName name="ReportObject1_42">#REF!</definedName>
    <definedName name="ReportObject1_43">#REF!</definedName>
    <definedName name="ReportObject1_44">#REF!</definedName>
    <definedName name="ReportObject1_45">#REF!</definedName>
    <definedName name="ReportObject1_46">#REF!</definedName>
    <definedName name="ReportObject1_47">#REF!</definedName>
    <definedName name="ReportObject1_48">#REF!</definedName>
    <definedName name="ReportObject1_49">#REF!</definedName>
    <definedName name="ReportObject1_5">#REF!</definedName>
    <definedName name="ReportObject1_50">#REF!</definedName>
    <definedName name="ReportObject1_51">#REF!</definedName>
    <definedName name="ReportObject1_52">#REF!</definedName>
    <definedName name="ReportObject1_53">#REF!</definedName>
    <definedName name="ReportObject1_54">#REF!</definedName>
    <definedName name="ReportObject1_55">#REF!</definedName>
    <definedName name="ReportObject1_56">#REF!</definedName>
    <definedName name="ReportObject1_57">#REF!</definedName>
    <definedName name="ReportObject1_58">#REF!</definedName>
    <definedName name="ReportObject1_59">#REF!</definedName>
    <definedName name="ReportObject1_6">#REF!</definedName>
    <definedName name="ReportObject1_60">#REF!</definedName>
    <definedName name="ReportObject1_61">#REF!</definedName>
    <definedName name="ReportObject1_62">#REF!</definedName>
    <definedName name="ReportObject1_63">#REF!</definedName>
    <definedName name="ReportObject1_64">#REF!</definedName>
    <definedName name="ReportObject1_65">#REF!</definedName>
    <definedName name="ReportObject1_66">#REF!</definedName>
    <definedName name="ReportObject1_67">#REF!</definedName>
    <definedName name="ReportObject1_68">#REF!</definedName>
    <definedName name="ReportObject1_69">#REF!</definedName>
    <definedName name="ReportObject1_7">#REF!</definedName>
    <definedName name="ReportObject1_70">#REF!</definedName>
    <definedName name="ReportObject1_8">#REF!</definedName>
    <definedName name="ReportObject1_9">#REF!</definedName>
    <definedName name="_xlnm.Print_Area" localSheetId="5">'2019'!$A$1:$E$16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3" l="1"/>
  <c r="D44" i="13"/>
  <c r="H41" i="13"/>
  <c r="D41" i="13"/>
  <c r="H38" i="13" l="1"/>
  <c r="D38" i="13"/>
  <c r="F35" i="13" l="1"/>
  <c r="F34" i="13"/>
  <c r="H35" i="13" s="1"/>
  <c r="B34" i="13"/>
  <c r="B35" i="13"/>
  <c r="D35" i="13" l="1"/>
  <c r="H32" i="13"/>
  <c r="D32" i="13"/>
  <c r="F29" i="13" l="1"/>
  <c r="H29" i="13" s="1"/>
  <c r="B29" i="13"/>
  <c r="B28" i="13"/>
  <c r="D29" i="13" s="1"/>
  <c r="F26" i="13" l="1"/>
  <c r="F25" i="13"/>
  <c r="H26" i="13" s="1"/>
  <c r="B26" i="13"/>
  <c r="B25" i="13"/>
  <c r="D26" i="13" l="1"/>
  <c r="B17" i="13"/>
  <c r="B20" i="13" l="1"/>
  <c r="F23" i="13" l="1"/>
  <c r="F22" i="13"/>
  <c r="B23" i="13"/>
  <c r="B22" i="13"/>
  <c r="D23" i="13" l="1"/>
  <c r="H23" i="13"/>
  <c r="F11" i="13"/>
  <c r="F10" i="13"/>
  <c r="H11" i="13" s="1"/>
  <c r="B10" i="13"/>
  <c r="F14" i="13" l="1"/>
  <c r="F13" i="13"/>
  <c r="B13" i="13"/>
  <c r="F17" i="13" l="1"/>
  <c r="F16" i="13"/>
  <c r="B16" i="13"/>
  <c r="H17" i="13" l="1"/>
  <c r="F20" i="13"/>
  <c r="F19" i="13"/>
  <c r="B19" i="13"/>
  <c r="H20" i="13" l="1"/>
  <c r="D20" i="13"/>
  <c r="D17" i="13" l="1"/>
  <c r="H14" i="13" l="1"/>
  <c r="D14" i="13"/>
  <c r="D11" i="13"/>
  <c r="I8" i="13" l="1"/>
  <c r="H8" i="13"/>
  <c r="G8" i="13"/>
  <c r="F8" i="13"/>
  <c r="F7" i="13"/>
  <c r="H35" i="12"/>
  <c r="D35" i="12"/>
  <c r="H32" i="12" l="1"/>
  <c r="D32" i="12"/>
  <c r="D29" i="12"/>
  <c r="H29" i="12" l="1"/>
  <c r="H26" i="12" l="1"/>
  <c r="D26" i="12"/>
  <c r="I8" i="12" l="1"/>
  <c r="H8" i="12"/>
  <c r="G8" i="12"/>
  <c r="F8" i="12"/>
  <c r="F7" i="12"/>
  <c r="I8" i="11"/>
  <c r="H8" i="11"/>
  <c r="G8" i="11"/>
  <c r="F8" i="11"/>
  <c r="F7" i="11"/>
  <c r="F35" i="4" l="1"/>
  <c r="F34" i="4"/>
  <c r="D35" i="4"/>
  <c r="B35" i="4"/>
  <c r="B34" i="4"/>
  <c r="F43" i="7" l="1"/>
  <c r="F44" i="7"/>
  <c r="F40" i="7" l="1"/>
  <c r="F41" i="7"/>
  <c r="F37" i="7" l="1"/>
  <c r="F38" i="7"/>
  <c r="F34" i="7" l="1"/>
  <c r="F35" i="7"/>
  <c r="F31" i="7" l="1"/>
  <c r="F32" i="7"/>
  <c r="F28" i="7" l="1"/>
  <c r="F29" i="7"/>
  <c r="F25" i="7" l="1"/>
  <c r="F26" i="7"/>
  <c r="F22" i="7" l="1"/>
  <c r="F23" i="7"/>
  <c r="F19" i="7" l="1"/>
  <c r="F20" i="7"/>
  <c r="F16" i="7" l="1"/>
  <c r="F17" i="7"/>
  <c r="F13" i="7" l="1"/>
  <c r="F14" i="7"/>
  <c r="F10" i="7" l="1"/>
  <c r="F11" i="7"/>
  <c r="H44" i="7" l="1"/>
  <c r="H41" i="7"/>
  <c r="H38" i="7"/>
  <c r="H35" i="7"/>
  <c r="H32" i="7"/>
  <c r="H29" i="7"/>
  <c r="H26" i="7"/>
  <c r="H23" i="7"/>
  <c r="H20" i="7"/>
  <c r="H17" i="7"/>
  <c r="H14" i="7"/>
  <c r="H11" i="7"/>
  <c r="H11" i="9" l="1"/>
  <c r="H44" i="9"/>
  <c r="H41" i="9" l="1"/>
  <c r="H38" i="9" l="1"/>
  <c r="H35" i="9" l="1"/>
  <c r="H32" i="9" l="1"/>
  <c r="H29" i="9" l="1"/>
  <c r="H26" i="9" l="1"/>
  <c r="H23" i="9" l="1"/>
  <c r="H20" i="9" l="1"/>
  <c r="H17" i="9" l="1"/>
  <c r="H14" i="9" l="1"/>
  <c r="H44" i="8" l="1"/>
  <c r="H41" i="8"/>
  <c r="H38" i="8"/>
  <c r="H35" i="8"/>
  <c r="H32" i="8"/>
  <c r="H29" i="8"/>
  <c r="H26" i="8"/>
  <c r="H23" i="8"/>
  <c r="H20" i="8"/>
  <c r="H17" i="8"/>
  <c r="H14" i="8"/>
  <c r="H11" i="8"/>
  <c r="F44" i="8" l="1"/>
  <c r="F43" i="8"/>
  <c r="F41" i="8" l="1"/>
  <c r="F40" i="8"/>
  <c r="F38" i="8" l="1"/>
  <c r="F37" i="8"/>
  <c r="F35" i="8" l="1"/>
  <c r="F34" i="8"/>
  <c r="F32" i="8" l="1"/>
  <c r="F31" i="8"/>
  <c r="F29" i="8" l="1"/>
  <c r="F28" i="8"/>
  <c r="F26" i="8" l="1"/>
  <c r="F25" i="8"/>
  <c r="F23" i="8" l="1"/>
  <c r="F22" i="8"/>
  <c r="F20" i="8" l="1"/>
  <c r="F19" i="8"/>
  <c r="F16" i="8" l="1"/>
  <c r="F17" i="8"/>
  <c r="F14" i="8" l="1"/>
  <c r="F13" i="8"/>
  <c r="F11" i="8" l="1"/>
  <c r="F10" i="8"/>
  <c r="F44" i="9" l="1"/>
  <c r="F43" i="9"/>
  <c r="F41" i="9" l="1"/>
  <c r="F40" i="9"/>
  <c r="F38" i="9" l="1"/>
  <c r="F37" i="9"/>
  <c r="F35" i="9" l="1"/>
  <c r="F34" i="9"/>
  <c r="F32" i="9" l="1"/>
  <c r="F31" i="9"/>
  <c r="F29" i="9" l="1"/>
  <c r="F28" i="9"/>
  <c r="F26" i="9" l="1"/>
  <c r="F25" i="9"/>
  <c r="F23" i="9" l="1"/>
  <c r="F22" i="9"/>
  <c r="F20" i="9" l="1"/>
  <c r="F19" i="9"/>
  <c r="F17" i="9" l="1"/>
  <c r="F16" i="9"/>
  <c r="F10" i="9" l="1"/>
  <c r="F13" i="9" l="1"/>
  <c r="F14" i="9"/>
  <c r="F11" i="9" l="1"/>
  <c r="F43" i="10" l="1"/>
  <c r="F44" i="10"/>
  <c r="F40" i="10" l="1"/>
  <c r="F41" i="10"/>
  <c r="F37" i="10" l="1"/>
  <c r="F38" i="10"/>
  <c r="F34" i="10" l="1"/>
  <c r="F35" i="10"/>
  <c r="F31" i="10" l="1"/>
  <c r="F32" i="10"/>
  <c r="F28" i="10" l="1"/>
  <c r="F29" i="10"/>
  <c r="F25" i="10" l="1"/>
  <c r="F26" i="10"/>
  <c r="F22" i="10" l="1"/>
  <c r="F23" i="10"/>
  <c r="F19" i="10" l="1"/>
  <c r="F20" i="10"/>
  <c r="F17" i="10" l="1"/>
  <c r="F14" i="10" l="1"/>
  <c r="F11" i="10" l="1"/>
  <c r="H44" i="10" l="1"/>
  <c r="H41" i="10"/>
  <c r="H38" i="10"/>
  <c r="H35" i="10"/>
  <c r="H32" i="10"/>
  <c r="H29" i="10"/>
  <c r="H26" i="10"/>
  <c r="H23" i="10"/>
  <c r="H20" i="10"/>
  <c r="H17" i="10"/>
  <c r="H14" i="10"/>
  <c r="H11" i="10"/>
  <c r="B43" i="10" l="1"/>
  <c r="B40" i="10"/>
  <c r="B37" i="10"/>
  <c r="B34" i="10"/>
  <c r="B31" i="10"/>
  <c r="B28" i="10"/>
  <c r="B25" i="10"/>
  <c r="B22" i="10"/>
  <c r="B19" i="10"/>
  <c r="B16" i="10"/>
  <c r="B13" i="10"/>
  <c r="B10" i="10"/>
  <c r="I8" i="10"/>
  <c r="H8" i="10"/>
  <c r="G8" i="10"/>
  <c r="F8" i="10"/>
  <c r="F7" i="10"/>
  <c r="B43" i="9"/>
  <c r="B40" i="9"/>
  <c r="B37" i="9"/>
  <c r="B34" i="9"/>
  <c r="B31" i="9"/>
  <c r="B28" i="9"/>
  <c r="B25" i="9"/>
  <c r="B22" i="9"/>
  <c r="B19" i="9"/>
  <c r="B16" i="9"/>
  <c r="B13" i="9"/>
  <c r="B10" i="9"/>
  <c r="B10" i="8"/>
  <c r="B13" i="8"/>
  <c r="B16" i="8"/>
  <c r="B19" i="8"/>
  <c r="B22" i="8"/>
  <c r="B25" i="8"/>
  <c r="B28" i="8"/>
  <c r="B31" i="8"/>
  <c r="B34" i="8"/>
  <c r="B37" i="8"/>
  <c r="B40" i="8"/>
  <c r="B43" i="8"/>
  <c r="B43" i="7"/>
  <c r="B40" i="7"/>
  <c r="B37" i="7"/>
  <c r="B31" i="7"/>
  <c r="B28" i="7"/>
  <c r="B25" i="7"/>
  <c r="B22" i="7"/>
  <c r="B19" i="7"/>
  <c r="B16" i="7"/>
  <c r="B13" i="7"/>
  <c r="B10" i="7"/>
  <c r="D38" i="6" l="1"/>
  <c r="B38" i="6"/>
  <c r="D35" i="6"/>
  <c r="B35" i="6"/>
  <c r="B34" i="6" s="1"/>
  <c r="D32" i="6"/>
  <c r="B32" i="6"/>
  <c r="D29" i="6"/>
  <c r="B29" i="6"/>
  <c r="B28" i="6" s="1"/>
  <c r="D26" i="6"/>
  <c r="B26" i="6"/>
  <c r="D23" i="6"/>
  <c r="B23" i="6"/>
  <c r="B22" i="6" s="1"/>
  <c r="D20" i="6"/>
  <c r="B20" i="6"/>
  <c r="D17" i="6"/>
  <c r="B17" i="6"/>
  <c r="B16" i="6" s="1"/>
  <c r="D14" i="6"/>
  <c r="B14" i="6"/>
  <c r="B19" i="6" l="1"/>
  <c r="B13" i="6"/>
  <c r="B25" i="6"/>
  <c r="B37" i="6"/>
  <c r="B31" i="6"/>
  <c r="B10" i="6"/>
  <c r="I8" i="9" l="1"/>
  <c r="H8" i="9"/>
  <c r="G8" i="9"/>
  <c r="F8" i="9"/>
  <c r="F7" i="9"/>
  <c r="I8" i="8"/>
  <c r="H8" i="8"/>
  <c r="G8" i="8"/>
  <c r="F8" i="8"/>
  <c r="F7" i="8"/>
  <c r="I8" i="7"/>
  <c r="H8" i="7"/>
  <c r="G8" i="7"/>
  <c r="F8" i="7"/>
  <c r="F7" i="7"/>
  <c r="I8" i="6"/>
  <c r="H8" i="6"/>
  <c r="G8" i="6"/>
  <c r="F8" i="6"/>
  <c r="F7" i="6"/>
  <c r="F7" i="4"/>
  <c r="I8" i="4"/>
  <c r="H8" i="4"/>
  <c r="G8" i="4"/>
  <c r="F8" i="4"/>
</calcChain>
</file>

<file path=xl/sharedStrings.xml><?xml version="1.0" encoding="utf-8"?>
<sst xmlns="http://schemas.openxmlformats.org/spreadsheetml/2006/main" count="588" uniqueCount="36">
  <si>
    <t>МВт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</si>
  <si>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</si>
  <si>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</si>
  <si>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</si>
  <si>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</si>
  <si>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</si>
  <si>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</si>
  <si>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</si>
  <si>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</si>
  <si>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Уровень напряжения</t>
  </si>
  <si>
    <t>январь</t>
  </si>
  <si>
    <t>Территориальная сетевая организация</t>
  </si>
  <si>
    <t>ВН</t>
  </si>
  <si>
    <t>СН</t>
  </si>
  <si>
    <t>СН II</t>
  </si>
  <si>
    <t>НН</t>
  </si>
  <si>
    <t>млн.кВт.ч</t>
  </si>
  <si>
    <t>-</t>
  </si>
  <si>
    <t>Информация об объеме фактического полезного отпуска (без учета потерь) электроэнергии и мощности по тарифным группам в разрезе территориальных сетевых организаций по уровням напряжения :</t>
  </si>
  <si>
    <t xml:space="preserve">2019г. </t>
  </si>
  <si>
    <t>АО «Янтарьэнерго»</t>
  </si>
  <si>
    <t>АО "Агропродукт"</t>
  </si>
  <si>
    <t xml:space="preserve">февраль </t>
  </si>
  <si>
    <t xml:space="preserve">март </t>
  </si>
  <si>
    <t xml:space="preserve">апрель </t>
  </si>
  <si>
    <t xml:space="preserve">2018г. </t>
  </si>
  <si>
    <t xml:space="preserve">2017г. </t>
  </si>
  <si>
    <t xml:space="preserve">2016г. </t>
  </si>
  <si>
    <t xml:space="preserve">2015г. </t>
  </si>
  <si>
    <t xml:space="preserve">2014г. </t>
  </si>
  <si>
    <t xml:space="preserve">2020г. </t>
  </si>
  <si>
    <t xml:space="preserve">2021г. </t>
  </si>
  <si>
    <t xml:space="preserve">2022г. </t>
  </si>
  <si>
    <t xml:space="preserve">2023г. </t>
  </si>
  <si>
    <t>АО «Россети Янтарь»</t>
  </si>
  <si>
    <t xml:space="preserve">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</si>
</sst>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CC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2" xfId="0" applyBorder="1"/>
    <xf numFmtId="164" fontId="0" fillId="0" borderId="2" xfId="0" applyNumberFormat="1" applyBorder="1"/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164" fontId="0" fillId="0" borderId="0" xfId="0" applyNumberForma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vertical="center" wrapText="1"/>
    </xf>
    <xf numFmtId="4" fontId="0" fillId="0" borderId="2" xfId="0" applyNumberFormat="1" applyBorder="1"/>
    <xf numFmtId="2" fontId="0" fillId="0" borderId="2" xfId="0" applyNumberFormat="1" applyBorder="1"/>
    <xf numFmtId="0" fontId="4" fillId="0" borderId="0" xfId="0" applyFont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52.xml"/><Relationship Id="rId68" Type="http://schemas.openxmlformats.org/officeDocument/2006/relationships/externalLink" Target="externalLinks/externalLink57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66" Type="http://schemas.openxmlformats.org/officeDocument/2006/relationships/externalLink" Target="externalLinks/externalLink5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61" Type="http://schemas.openxmlformats.org/officeDocument/2006/relationships/externalLink" Target="externalLinks/externalLink5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externalLink" Target="externalLinks/externalLink54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53.xml"/><Relationship Id="rId69" Type="http://schemas.openxmlformats.org/officeDocument/2006/relationships/externalLink" Target="externalLinks/externalLink5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67" Type="http://schemas.openxmlformats.org/officeDocument/2006/relationships/externalLink" Target="externalLinks/externalLink56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9;&#1045;&#1052;&#1067;&#1045;%20&#1042;&#1048;&#1044;&#1067;%20&#1044;&#1045;&#1071;&#1058;&#1045;&#1051;&#1068;&#1053;&#1054;&#1057;&#1058;&#1048;/&#1069;&#1083;&#1077;&#1082;&#1090;&#1088;&#1086;&#1089;&#1085;&#1072;&#1073;&#1078;&#1077;&#1085;&#1080;&#1077;/&#1054;&#1058;&#1056;%20&#1077;&#1078;&#1077;&#1084;&#1077;&#1089;&#1103;&#1095;&#1085;&#1099;&#1077;%20&#1088;&#1072;&#1089;&#1095;&#1077;&#1090;&#1099;/2022/&#1103;&#1085;&#1074;&#1072;&#1088;&#1100;/!&#1071;&#1085;&#1074;&#1072;&#1088;&#1100;_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8\&#1042;&#1077;&#1076;&#1086;&#1084;&#1086;&#1089;&#1090;&#1080;\&#1060;&#1040;&#1050;&#1058;_2018%20&#1101;&#1085;&#1077;&#1088;&#1075;&#1080;&#110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7\&#1042;&#1077;&#1076;&#1086;&#1084;&#1086;&#1089;&#1090;&#1100;_2017\&#1071;&#1085;&#1074;&#1072;&#1088;&#1100;_17\&#1071;&#1085;&#1074;&#1072;&#1088;&#1100;_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7\&#1042;&#1077;&#1076;&#1086;&#1084;&#1086;&#1089;&#1090;&#1100;_2017\&#1060;&#1040;&#1050;&#1058;_2017%20&#1101;&#1085;&#1077;&#1088;&#1075;&#1080;&#1103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7\&#1042;&#1077;&#1076;&#1086;&#1084;&#1086;&#1089;&#1090;&#1100;_2017\&#1060;&#1077;&#1074;&#1088;&#1072;&#1083;&#1100;_17\&#1060;&#1077;&#1074;&#1088;&#1072;&#1083;&#1100;_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7\&#1042;&#1077;&#1076;&#1086;&#1084;&#1086;&#1089;&#1090;&#1100;_2017\&#1052;&#1072;&#1088;&#1090;_17\&#1052;&#1072;&#1088;&#1090;_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7\&#1042;&#1077;&#1076;&#1086;&#1084;&#1086;&#1089;&#1090;&#1100;_2017\&#1040;&#1087;&#1088;&#1077;&#1083;&#1100;_17\&#1040;&#1087;&#1088;&#1077;&#1083;&#1100;_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7\&#1042;&#1077;&#1076;&#1086;&#1084;&#1086;&#1089;&#1090;&#1100;_2017\&#1052;&#1072;&#1081;_17\&#1052;&#1072;&#1081;_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7\&#1042;&#1077;&#1076;&#1086;&#1084;&#1086;&#1089;&#1090;&#1100;_2017\&#1048;&#1102;&#1085;&#1100;_17\&#1048;&#1102;&#1085;&#1100;_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7\&#1042;&#1077;&#1076;&#1086;&#1084;&#1086;&#1089;&#1090;&#1100;_2017\&#1048;&#1102;&#1083;&#1100;_17\&#1048;&#1102;&#1083;&#1100;_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7\&#1042;&#1077;&#1076;&#1086;&#1084;&#1086;&#1089;&#1090;&#1100;_2017\&#1040;&#1074;&#1075;&#1091;&#1089;&#1090;_17\&#1040;&#1074;&#1075;&#1091;&#1089;&#1090;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9;&#1045;&#1052;&#1067;&#1045;%20&#1042;&#1048;&#1044;&#1067;%20&#1044;&#1045;&#1071;&#1058;&#1045;&#1051;&#1068;&#1053;&#1054;&#1057;&#1058;&#1048;/&#1069;&#1083;&#1077;&#1082;&#1090;&#1088;&#1086;&#1089;&#1085;&#1072;&#1073;&#1078;&#1077;&#1085;&#1080;&#1077;/&#1054;&#1058;&#1056;%20&#1077;&#1078;&#1077;&#1084;&#1077;&#1089;&#1103;&#1095;&#1085;&#1099;&#1077;%20&#1088;&#1072;&#1089;&#1095;&#1077;&#1090;&#1099;/2022/&#1092;&#1077;&#1074;&#1088;&#1072;&#1083;&#1100;/!&#1060;&#1077;&#1074;&#1088;&#1072;&#1083;&#1100;_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7\&#1042;&#1077;&#1076;&#1086;&#1084;&#1086;&#1089;&#1090;&#1100;_2017\&#1057;&#1077;&#1085;&#1090;&#1103;&#1073;&#1088;&#1100;_17\&#1057;&#1077;&#1085;&#1090;&#1103;&#1073;&#1088;&#1100;_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7\&#1042;&#1077;&#1076;&#1086;&#1084;&#1086;&#1089;&#1090;&#1100;_2017\&#1054;&#1082;&#1090;&#1103;&#1073;&#1088;&#1100;_17\&#1054;&#1082;&#1090;&#1103;&#1073;&#1088;&#1100;_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7\&#1042;&#1077;&#1076;&#1086;&#1084;&#1086;&#1089;&#1090;&#1100;_2017\&#1053;&#1086;&#1103;&#1073;&#1088;&#1100;_17\&#1053;&#1086;&#1103;&#1073;&#1088;&#1100;_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7\&#1042;&#1077;&#1076;&#1086;&#1084;&#1086;&#1089;&#1090;&#1100;_2017\&#1044;&#1077;&#1082;&#1072;&#1073;&#1088;&#1100;_17\&#1044;&#1077;&#1082;&#1072;&#1073;&#1088;&#1100;_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6\&#1042;&#1077;&#1076;&#1086;&#1084;&#1086;&#1089;&#1090;&#1100;_16\&#1071;&#1053;&#1042;&#1040;&#1056;&#1068;_16\&#1071;&#1085;&#1074;&#1072;&#1088;&#1100;_&#1057;&#1074;&#1086;&#1076;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6\&#1042;&#1077;&#1076;&#1086;&#1084;&#1086;&#1089;&#1090;&#1100;_16\&#1060;&#1040;&#1050;&#1058;_2016%20&#1101;&#1085;&#1077;&#1088;&#1075;&#1080;&#1103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6\&#1042;&#1077;&#1076;&#1086;&#1084;&#1086;&#1089;&#1090;&#1100;_16\&#1060;&#1045;&#1042;&#1056;&#1040;&#1051;&#1068;_16\&#1060;&#1077;&#1074;&#1088;&#1072;&#1083;&#1100;_&#1057;&#1074;&#1086;&#1076;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6\&#1042;&#1077;&#1076;&#1086;&#1084;&#1086;&#1089;&#1090;&#1100;_16\&#1052;&#1040;&#1056;&#1058;_16\&#1052;&#1072;&#1088;&#1090;_&#1057;&#1074;&#1086;&#1076;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6\&#1042;&#1077;&#1076;&#1086;&#1084;&#1086;&#1089;&#1090;&#1100;_16\&#1040;&#1055;&#1056;&#1045;&#1051;&#1068;_16\&#1040;&#1087;&#1088;&#1077;&#1083;&#1100;_&#1057;&#1074;&#1086;&#1076;_2016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6\&#1042;&#1077;&#1076;&#1086;&#1084;&#1086;&#1089;&#1090;&#1100;_16\&#1052;&#1040;&#1049;_16\&#1052;&#1072;&#1081;_&#1057;&#1074;&#1086;&#1076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9;&#1045;&#1052;&#1067;&#1045;%20&#1042;&#1048;&#1044;&#1067;%20&#1044;&#1045;&#1071;&#1058;&#1045;&#1051;&#1068;&#1053;&#1054;&#1057;&#1058;&#1048;/&#1069;&#1083;&#1077;&#1082;&#1090;&#1088;&#1086;&#1089;&#1085;&#1072;&#1073;&#1078;&#1077;&#1085;&#1080;&#1077;/&#1054;&#1058;&#1056;%20&#1077;&#1078;&#1077;&#1084;&#1077;&#1089;&#1103;&#1095;&#1085;&#1099;&#1077;%20&#1088;&#1072;&#1089;&#1095;&#1077;&#1090;&#1099;/2022/&#1084;&#1072;&#1088;&#1090;/!&#1052;&#1072;&#1088;&#1090;_2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6\&#1042;&#1077;&#1076;&#1086;&#1084;&#1086;&#1089;&#1090;&#1100;_16\&#1048;&#1070;&#1053;&#1068;_16\&#1048;&#1102;&#1085;&#1100;_&#1057;&#1074;&#1086;&#1076;_201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6\&#1042;&#1077;&#1076;&#1086;&#1084;&#1086;&#1089;&#1090;&#1100;_16\&#1048;&#1070;&#1051;&#1068;_16\&#1048;&#1102;&#1083;&#1100;_16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6\&#1042;&#1077;&#1076;&#1086;&#1084;&#1086;&#1089;&#1090;&#1100;_16\&#1040;&#1042;&#1043;&#1059;&#1057;&#1058;_16\&#1040;&#1074;&#1075;&#1091;&#1089;&#1090;_16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6\&#1042;&#1077;&#1076;&#1086;&#1084;&#1086;&#1089;&#1090;&#1100;_16\&#1057;&#1045;&#1053;&#1058;&#1071;&#1041;&#1056;&#1068;_16\&#1057;&#1077;&#1085;&#1090;&#1103;&#1073;&#1088;&#1100;_16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6\&#1042;&#1077;&#1076;&#1086;&#1084;&#1086;&#1089;&#1090;&#1100;_16\&#1054;&#1050;&#1058;&#1071;&#1041;&#1056;&#1068;_16\&#1054;&#1082;&#1090;&#1103;&#1073;&#1088;&#1100;_16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6\&#1042;&#1077;&#1076;&#1086;&#1084;&#1086;&#1089;&#1090;&#1100;_16\&#1053;&#1054;&#1071;&#1041;&#1056;&#1068;_16\&#1053;&#1086;&#1103;&#1073;&#1088;&#1100;_16_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6\&#1042;&#1077;&#1076;&#1086;&#1084;&#1086;&#1089;&#1090;&#1100;_16\&#1044;&#1045;&#1050;&#1040;&#1041;&#1056;&#1068;_16\&#1044;&#1077;&#1082;&#1072;&#1073;&#1088;&#1100;_1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5\&#1042;&#1077;&#1076;&#1086;&#1084;&#1086;&#1089;&#1090;&#1100;_2015\&#1071;&#1053;&#1042;&#1040;&#1056;&#1068;_15\&#1071;&#1085;&#1074;&#1072;&#1088;&#1100;_&#1057;&#1074;&#1086;&#1076;_2015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5\&#1042;&#1077;&#1076;&#1086;&#1084;&#1086;&#1089;&#1090;&#1100;_2015\&#1060;&#1045;&#1042;&#1056;&#1040;&#1051;&#1068;_15\&#1060;&#1077;&#1074;&#1088;&#1072;&#1083;&#1100;_&#1057;&#1074;&#1086;&#1076;_2015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5\&#1042;&#1077;&#1076;&#1086;&#1084;&#1086;&#1089;&#1090;&#1100;_2015\&#1052;&#1040;&#1056;&#1058;_15\&#1052;&#1072;&#1088;&#1090;_&#1057;&#1074;&#1086;&#1076;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9;&#1045;&#1052;&#1067;&#1045;%20&#1042;&#1048;&#1044;&#1067;%20&#1044;&#1045;&#1071;&#1058;&#1045;&#1051;&#1068;&#1053;&#1054;&#1057;&#1058;&#1048;/&#1069;&#1083;&#1077;&#1082;&#1090;&#1088;&#1086;&#1089;&#1085;&#1072;&#1073;&#1078;&#1077;&#1085;&#1080;&#1077;/&#1054;&#1058;&#1056;%20&#1077;&#1078;&#1077;&#1084;&#1077;&#1089;&#1103;&#1095;&#1085;&#1099;&#1077;%20&#1088;&#1072;&#1089;&#1095;&#1077;&#1090;&#1099;/2022/&#1072;&#1087;&#1088;&#1077;&#1083;&#1100;/!&#1040;&#1087;&#1088;&#1077;&#1083;&#1100;_22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5\&#1042;&#1077;&#1076;&#1086;&#1084;&#1086;&#1089;&#1090;&#1100;_2015\&#1040;&#1055;&#1056;&#1045;&#1051;&#1068;_15\&#1040;&#1087;&#1088;&#1077;&#1083;&#1100;_&#1057;&#1074;&#1086;&#1076;_201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5\&#1042;&#1077;&#1076;&#1086;&#1084;&#1086;&#1089;&#1090;&#1100;_2015\&#1052;&#1040;&#1049;_15\&#1052;&#1072;&#1081;_&#1057;&#1074;&#1086;&#1076;_2015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5\&#1042;&#1077;&#1076;&#1086;&#1084;&#1086;&#1089;&#1090;&#1100;_2015\&#1048;&#1070;&#1053;&#1068;_15\&#1048;&#1102;&#1085;&#1100;_&#1057;&#1074;&#1086;&#1076;_2015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5\&#1042;&#1077;&#1076;&#1086;&#1084;&#1086;&#1089;&#1090;&#1100;_2015\&#1048;&#1070;&#1051;&#1068;_15\&#1048;&#1102;&#1083;&#1100;_&#1057;&#1074;&#1086;&#1076;_2015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5\&#1042;&#1077;&#1076;&#1086;&#1084;&#1086;&#1089;&#1090;&#1100;_2015\&#1040;&#1074;&#1075;&#1091;&#1089;&#1090;_15\&#1040;&#1074;&#1075;&#1091;&#1089;&#1090;_&#1057;&#1074;&#1086;&#1076;_2015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5\&#1042;&#1077;&#1076;&#1086;&#1084;&#1086;&#1089;&#1090;&#1100;_2015\&#1057;&#1045;&#1053;&#1058;&#1071;&#1041;&#1056;&#1068;_15\&#1057;&#1077;&#1085;&#1090;&#1103;&#1073;&#1088;&#1100;_&#1057;&#1074;&#1086;&#1076;_2015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5\&#1042;&#1077;&#1076;&#1086;&#1084;&#1086;&#1089;&#1090;&#1100;_2015\&#1054;&#1050;&#1058;&#1071;&#1041;&#1056;&#1068;_15\&#1054;&#1050;&#1058;&#1071;&#1041;&#1056;&#1068;_&#1057;&#1074;&#1086;&#1076;_2015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5\&#1042;&#1077;&#1076;&#1086;&#1084;&#1086;&#1089;&#1090;&#1100;_2015\&#1053;&#1054;&#1071;&#1041;&#1056;&#1068;_15\&#1053;&#1086;&#1103;&#1073;&#1088;&#1100;_&#1057;&#1074;&#1086;&#1076;_2015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5\&#1042;&#1077;&#1076;&#1086;&#1084;&#1086;&#1089;&#1090;&#1100;_2015\&#1044;&#1045;&#1050;&#1040;&#1041;&#1056;&#1058;_15\&#1044;&#1045;&#1050;&#1040;&#1041;&#1056;&#1068;_&#1057;&#1074;&#1086;&#1076;_2015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4\&#1042;&#1077;&#1076;&#1086;&#1084;&#1086;&#1089;&#1090;&#1100;_2014\&#1060;&#1040;&#1050;&#1058;_2014%20&#1101;&#1085;&#1077;&#1088;&#107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9;&#1045;&#1052;&#1067;&#1045;%20&#1042;&#1048;&#1044;&#1067;%20&#1044;&#1045;&#1071;&#1058;&#1045;&#1051;&#1068;&#1053;&#1054;&#1057;&#1058;&#1048;/&#1069;&#1083;&#1077;&#1082;&#1090;&#1088;&#1086;&#1089;&#1085;&#1072;&#1073;&#1078;&#1077;&#1085;&#1080;&#1077;/&#1054;&#1058;&#1056;%20&#1077;&#1078;&#1077;&#1084;&#1077;&#1089;&#1103;&#1095;&#1085;&#1099;&#1077;%20&#1088;&#1072;&#1089;&#1095;&#1077;&#1090;&#1099;/2022/&#1084;&#1072;&#1081;/!&#1052;&#1072;&#1081;_22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4\&#1042;&#1077;&#1076;&#1086;&#1084;&#1086;&#1089;&#1090;&#1100;_2014\April\&#1040;&#1055;&#1056;&#1045;&#1051;&#1068;_&#1057;&#1074;&#1086;&#1076;_2014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4\&#1042;&#1077;&#1076;&#1086;&#1084;&#1086;&#1089;&#1090;&#1100;_2014\May\&#1052;&#1040;&#1049;_&#1057;&#1074;&#1086;&#1076;_2014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4\&#1042;&#1077;&#1076;&#1086;&#1084;&#1086;&#1089;&#1090;&#1100;_2014\June\&#1048;&#1070;&#1053;&#1068;_&#1057;&#1074;&#1086;&#1076;_2014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4\&#1042;&#1077;&#1076;&#1086;&#1084;&#1086;&#1089;&#1090;&#1100;_2014\July\&#1048;&#1070;&#1051;&#1068;_&#1057;&#1074;&#1086;&#1076;_2014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4\&#1042;&#1077;&#1076;&#1086;&#1084;&#1086;&#1089;&#1090;&#1100;_2014\August\&#1040;&#1042;&#1043;&#1059;&#1057;&#1058;_&#1057;&#1074;&#1086;&#1076;_2014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4\&#1042;&#1077;&#1076;&#1086;&#1084;&#1086;&#1089;&#1090;&#1100;_2014\September\&#1057;&#1077;&#1085;&#1090;&#1103;&#1073;&#1088;&#1100;_&#1057;&#1074;&#1086;&#1076;_2014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4\&#1042;&#1077;&#1076;&#1086;&#1084;&#1086;&#1089;&#1090;&#1100;_2014\October\&#1054;&#1082;&#1090;&#1103;&#1073;&#1088;&#1100;_&#1057;&#1074;&#1086;&#1076;_2014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4\&#1042;&#1077;&#1076;&#1086;&#1084;&#1086;&#1089;&#1090;&#1100;_2014\November\&#1053;&#1086;&#1103;&#1073;&#1088;&#1100;_&#1057;&#1074;&#1086;&#1076;_2014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4\&#1042;&#1077;&#1076;&#1086;&#1084;&#1086;&#1089;&#1090;&#1100;_2014\Desember\&#1044;&#1077;&#1082;&#1072;&#1073;&#1088;&#1100;_&#1057;&#1074;&#1086;&#1076;_2014_&#1073;&#1077;&#1079;%20&#1087;&#1077;&#1088;&#1077;&#1076;&#1072;&#1095;&#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9;&#1045;&#1052;&#1067;&#1045;%20&#1042;&#1048;&#1044;&#1067;%20&#1044;&#1045;&#1071;&#1058;&#1045;&#1051;&#1068;&#1053;&#1054;&#1057;&#1058;&#1048;/&#1069;&#1083;&#1077;&#1082;&#1090;&#1088;&#1086;&#1089;&#1085;&#1072;&#1073;&#1078;&#1077;&#1085;&#1080;&#1077;/&#1054;&#1058;&#1056;%20&#1077;&#1078;&#1077;&#1084;&#1077;&#1089;&#1103;&#1095;&#1085;&#1099;&#1077;%20&#1088;&#1072;&#1089;&#1095;&#1077;&#1090;&#1099;/2022/&#1080;&#1102;&#1085;&#1100;/!&#1048;&#1102;&#1085;&#1100;_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9;&#1045;&#1052;&#1067;&#1045;%20&#1042;&#1048;&#1044;&#1067;%20&#1044;&#1045;&#1071;&#1058;&#1045;&#1051;&#1068;&#1053;&#1054;&#1057;&#1058;&#1048;/&#1069;&#1083;&#1077;&#1082;&#1090;&#1088;&#1086;&#1089;&#1085;&#1072;&#1073;&#1078;&#1077;&#1085;&#1080;&#1077;/&#1054;&#1058;&#1056;%20&#1077;&#1078;&#1077;&#1084;&#1077;&#1089;&#1103;&#1095;&#1085;&#1099;&#1077;%20&#1088;&#1072;&#1089;&#1095;&#1077;&#1090;&#1099;/2022/&#1080;&#1102;&#1083;&#1100;/!&#1048;&#1102;&#1083;&#1100;_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9;&#1045;&#1052;&#1067;&#1045;%20&#1042;&#1048;&#1044;&#1067;%20&#1044;&#1045;&#1071;&#1058;&#1045;&#1051;&#1068;&#1053;&#1054;&#1057;&#1058;&#1048;/&#1069;&#1083;&#1077;&#1082;&#1090;&#1088;&#1086;&#1089;&#1085;&#1072;&#1073;&#1078;&#1077;&#1085;&#1080;&#1077;/&#1054;&#1058;&#1056;%20&#1077;&#1078;&#1077;&#1084;&#1077;&#1089;&#1103;&#1095;&#1085;&#1099;&#1077;%20&#1088;&#1072;&#1089;&#1095;&#1077;&#1090;&#1099;/2022/&#1089;&#1077;&#1085;&#1090;&#1103;&#1073;&#1088;&#1100;/!&#1057;&#1077;&#1085;&#1090;&#1103;&#1073;&#1088;&#1100;_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\svetlypublic\&#1044;&#1086;&#1082;&#1091;&#1084;&#1077;&#1085;&#1090;&#1099;%20&#1087;&#1086;&#1083;&#1100;&#1079;&#1086;&#1074;&#1072;&#1090;&#1077;&#1083;&#1077;&#1081;\e.kurbatova\My%20Documents\&#1056;&#1045;&#1043;&#1059;&#1051;&#1048;&#1056;&#1059;&#1045;&#1052;&#1067;&#1045;%20&#1042;&#1048;&#1044;&#1067;%20&#1044;&#1045;&#1071;&#1058;&#1045;&#1051;&#1068;&#1053;&#1054;&#1057;&#1058;&#1048;\&#1069;&#1083;&#1077;&#1082;&#1090;&#1088;&#1086;&#1089;&#1085;&#1072;&#1073;&#1078;&#1077;&#1085;&#1080;&#1077;\&#1054;&#1058;&#1056;%20-%20&#1050;&#1072;&#1090;&#1103;\2019\&#1042;&#1077;&#1076;&#1086;&#1084;&#1086;&#1089;&#1090;&#1080;\&#1089;&#1077;&#1085;&#1090;&#1103;&#1073;&#1088;&#1100;\!&#1057;&#1077;&#1085;&#1090;&#1103;&#1073;&#1088;&#1100;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категории"/>
      <sheetName val="Отклон Агро"/>
      <sheetName val="Отклон Агро (2)"/>
      <sheetName val="коэф"/>
      <sheetName val="часы Ген"/>
      <sheetName val="Агропродукт СН"/>
      <sheetName val="СН_Агро"/>
      <sheetName val="Спейс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Протеин счет"/>
      <sheetName val="ПротеинВН"/>
      <sheetName val="ПротеинСН"/>
      <sheetName val="Нью Лаб счет"/>
      <sheetName val="Нью Лаб СН"/>
      <sheetName val="Ойл счет"/>
      <sheetName val="Ойл"/>
      <sheetName val="параметры"/>
      <sheetName val="Соя на АГП и Тер"/>
      <sheetName val="Линкевич"/>
      <sheetName val="Ведомость Соя-Терминал"/>
      <sheetName val="Ведомость Соя-Агропродукт"/>
    </sheetNames>
    <sheetDataSet>
      <sheetData sheetId="0">
        <row r="3">
          <cell r="F3">
            <v>15194.119000000001</v>
          </cell>
        </row>
        <row r="36">
          <cell r="J36">
            <v>20.765000000000001</v>
          </cell>
          <cell r="K36">
            <v>10.591000000000001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акт"/>
      <sheetName val="2016"/>
      <sheetName val="2017"/>
      <sheetName val="2017 (служба)"/>
      <sheetName val="2018"/>
      <sheetName val="Лист4"/>
      <sheetName val="Для Службы"/>
      <sheetName val="свод"/>
      <sheetName val="18_ЛукОйл"/>
      <sheetName val="18_СОЯ"/>
      <sheetName val="18_Терминал"/>
      <sheetName val="18_ЛукОйл (ВН)"/>
      <sheetName val="18_СОЯ (ВН)"/>
      <sheetName val="18_Терминал (ВН)"/>
      <sheetName val="ЛукОйл_18"/>
      <sheetName val="Оплаты"/>
      <sheetName val="Лист2"/>
      <sheetName val="10 Мвт"/>
      <sheetName val="ЛукО"/>
      <sheetName val="Соя_пепре"/>
      <sheetName val="Терминал_пере"/>
      <sheetName val="Лист1"/>
      <sheetName val="4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F8">
            <v>4891.9638297599622</v>
          </cell>
          <cell r="G8">
            <v>5076.827249975694</v>
          </cell>
          <cell r="H8">
            <v>5282.1742949999516</v>
          </cell>
          <cell r="I8">
            <v>5887.5717149687107</v>
          </cell>
          <cell r="J8">
            <v>5679.7192199952697</v>
          </cell>
          <cell r="K8">
            <v>5943.8112229917142</v>
          </cell>
          <cell r="L8">
            <v>5412.1728679855887</v>
          </cell>
          <cell r="M8">
            <v>4761.8712359999681</v>
          </cell>
          <cell r="N8">
            <v>5766.3706049999573</v>
          </cell>
        </row>
        <row r="9">
          <cell r="F9">
            <v>5544.5509494000007</v>
          </cell>
          <cell r="G9">
            <v>6544.4871196799386</v>
          </cell>
          <cell r="H9">
            <v>5918.3905699919897</v>
          </cell>
          <cell r="I9">
            <v>6712.3810349999249</v>
          </cell>
          <cell r="J9">
            <v>6501.0610999991959</v>
          </cell>
          <cell r="K9">
            <v>5879.3966299999674</v>
          </cell>
          <cell r="L9">
            <v>5548.0474449996327</v>
          </cell>
          <cell r="M9">
            <v>6420.7488849943884</v>
          </cell>
          <cell r="N9">
            <v>6649.9235199998993</v>
          </cell>
        </row>
        <row r="10">
          <cell r="F10">
            <v>741.17479999999307</v>
          </cell>
          <cell r="G10">
            <v>676.82136000000321</v>
          </cell>
          <cell r="H10">
            <v>364.40968999999569</v>
          </cell>
          <cell r="I10">
            <v>347.12982000000414</v>
          </cell>
          <cell r="J10">
            <v>325.68601000000427</v>
          </cell>
          <cell r="K10">
            <v>325.69637316666331</v>
          </cell>
          <cell r="L10">
            <v>182.82352999999688</v>
          </cell>
          <cell r="M10">
            <v>178.16881999977568</v>
          </cell>
          <cell r="N10">
            <v>400.94257999979482</v>
          </cell>
        </row>
        <row r="11">
          <cell r="F11">
            <v>429.24992000000594</v>
          </cell>
          <cell r="G11">
            <v>509.31336999999115</v>
          </cell>
          <cell r="H11">
            <v>398.20889999999645</v>
          </cell>
          <cell r="I11">
            <v>341.57850000000582</v>
          </cell>
          <cell r="J11">
            <v>283.74983999999722</v>
          </cell>
          <cell r="K11">
            <v>340.99499999999983</v>
          </cell>
          <cell r="L11">
            <v>373.95199999999375</v>
          </cell>
          <cell r="M11">
            <v>325.4520000000021</v>
          </cell>
          <cell r="N11">
            <v>362.89500000000055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Лист2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Соя на АГП и Тер"/>
      <sheetName val="АБК_1"/>
      <sheetName val="МТ"/>
      <sheetName val="ТП-7"/>
      <sheetName val="ОКС"/>
      <sheetName val="Своды по месячно"/>
    </sheetNames>
    <sheetDataSet>
      <sheetData sheetId="0" refreshError="1"/>
      <sheetData sheetId="1" refreshError="1"/>
      <sheetData sheetId="2">
        <row r="11">
          <cell r="C11">
            <v>14.939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5.8769999999999998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акт"/>
      <sheetName val="2016"/>
      <sheetName val="2017"/>
      <sheetName val="2017 (2)"/>
      <sheetName val="Лист4"/>
      <sheetName val="Для Службы"/>
      <sheetName val="свод"/>
      <sheetName val="16_ЛукОйл"/>
      <sheetName val="16_СОЯ"/>
      <sheetName val="16_Терминал"/>
      <sheetName val="16_ЛукОйл (ВН)"/>
      <sheetName val="16_СОЯ (ВН)"/>
      <sheetName val="16_Терминал (ВН)"/>
      <sheetName val="ЛукОйл"/>
      <sheetName val="Оплаты"/>
      <sheetName val="Лист2"/>
      <sheetName val="10 Мвт"/>
      <sheetName val="ЛукО"/>
      <sheetName val="Соя_пепре"/>
      <sheetName val="Терминал_пере"/>
      <sheetName val="Лист1"/>
      <sheetName val="46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711</v>
          </cell>
        </row>
        <row r="10">
          <cell r="B10">
            <v>631</v>
          </cell>
        </row>
        <row r="16">
          <cell r="B16">
            <v>507</v>
          </cell>
        </row>
        <row r="22">
          <cell r="B22">
            <v>468</v>
          </cell>
        </row>
        <row r="28">
          <cell r="B28">
            <v>485</v>
          </cell>
        </row>
        <row r="35">
          <cell r="B35">
            <v>484</v>
          </cell>
        </row>
        <row r="42">
          <cell r="B42">
            <v>543</v>
          </cell>
        </row>
        <row r="48">
          <cell r="B48">
            <v>545</v>
          </cell>
        </row>
        <row r="54">
          <cell r="B54">
            <v>318</v>
          </cell>
        </row>
        <row r="60">
          <cell r="B60">
            <v>488</v>
          </cell>
        </row>
        <row r="66">
          <cell r="B66">
            <v>483</v>
          </cell>
        </row>
        <row r="72">
          <cell r="B72">
            <v>594</v>
          </cell>
        </row>
      </sheetData>
      <sheetData sheetId="8">
        <row r="3">
          <cell r="B3">
            <v>8814</v>
          </cell>
        </row>
        <row r="10">
          <cell r="B10">
            <v>7956</v>
          </cell>
        </row>
        <row r="16">
          <cell r="B16">
            <v>8958</v>
          </cell>
        </row>
        <row r="22">
          <cell r="B22">
            <v>7262</v>
          </cell>
        </row>
        <row r="28">
          <cell r="B28">
            <v>8710</v>
          </cell>
        </row>
        <row r="35">
          <cell r="B35">
            <v>8865</v>
          </cell>
        </row>
        <row r="42">
          <cell r="B42">
            <v>8678</v>
          </cell>
        </row>
        <row r="49">
          <cell r="B49">
            <v>6787</v>
          </cell>
        </row>
        <row r="55">
          <cell r="B55">
            <v>8636</v>
          </cell>
        </row>
        <row r="61">
          <cell r="B61">
            <v>9067</v>
          </cell>
        </row>
        <row r="67">
          <cell r="B67">
            <v>8184</v>
          </cell>
        </row>
        <row r="73">
          <cell r="B73">
            <v>9249</v>
          </cell>
        </row>
      </sheetData>
      <sheetData sheetId="9">
        <row r="3">
          <cell r="B3">
            <v>478</v>
          </cell>
        </row>
        <row r="10">
          <cell r="B10">
            <v>563</v>
          </cell>
        </row>
        <row r="16">
          <cell r="B16">
            <v>519</v>
          </cell>
        </row>
        <row r="22">
          <cell r="B22">
            <v>581</v>
          </cell>
        </row>
        <row r="28">
          <cell r="B28">
            <v>421</v>
          </cell>
        </row>
        <row r="34">
          <cell r="B34">
            <v>402</v>
          </cell>
        </row>
        <row r="41">
          <cell r="B41">
            <v>217</v>
          </cell>
        </row>
        <row r="48">
          <cell r="B48">
            <v>267</v>
          </cell>
        </row>
        <row r="55">
          <cell r="B55">
            <v>314</v>
          </cell>
        </row>
        <row r="62">
          <cell r="B62">
            <v>468</v>
          </cell>
        </row>
        <row r="68">
          <cell r="B68">
            <v>683</v>
          </cell>
        </row>
        <row r="74">
          <cell r="B74">
            <v>594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Лист2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Соя на АГП и Тер"/>
      <sheetName val="АБК_1"/>
      <sheetName val="МТ"/>
      <sheetName val="ТП-7"/>
      <sheetName val="ОКС"/>
      <sheetName val="Своды по месячно"/>
    </sheetNames>
    <sheetDataSet>
      <sheetData sheetId="0" refreshError="1"/>
      <sheetData sheetId="1" refreshError="1"/>
      <sheetData sheetId="2">
        <row r="11">
          <cell r="C11">
            <v>15.292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6.0759999999999996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2)"/>
      <sheetName val="Лист2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Соя на АГП и Тер"/>
      <sheetName val="АБК_1"/>
      <sheetName val="МТ"/>
      <sheetName val="ТП-7"/>
      <sheetName val="ОКС"/>
      <sheetName val="Своды по месячно"/>
    </sheetNames>
    <sheetDataSet>
      <sheetData sheetId="0" refreshError="1"/>
      <sheetData sheetId="1" refreshError="1"/>
      <sheetData sheetId="2">
        <row r="11">
          <cell r="C11">
            <v>17.527999999999999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C14">
            <v>7.819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Лист2"/>
      <sheetName val="Отклонения Агро (2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Соя на АГП и Тер"/>
      <sheetName val="АБК_1"/>
      <sheetName val="МТ"/>
      <sheetName val="ТП-7"/>
      <sheetName val="ОКС"/>
      <sheetName val="Своды по месячно"/>
    </sheetNames>
    <sheetDataSet>
      <sheetData sheetId="0" refreshError="1"/>
      <sheetData sheetId="1" refreshError="1"/>
      <sheetData sheetId="2">
        <row r="11">
          <cell r="C11">
            <v>15.817600000000001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C14">
            <v>7.7649999999999997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2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Соя на АГП и Тер"/>
      <sheetName val="Ведомость Соя-Терминал"/>
    </sheetNames>
    <sheetDataSet>
      <sheetData sheetId="0" refreshError="1"/>
      <sheetData sheetId="1" refreshError="1"/>
      <sheetData sheetId="2">
        <row r="11">
          <cell r="C11">
            <v>17.414000000000001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7.7560000000000002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2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Соя на АГП и Тер"/>
      <sheetName val="Ведомость Соя-Терминал"/>
    </sheetNames>
    <sheetDataSet>
      <sheetData sheetId="0" refreshError="1"/>
      <sheetData sheetId="1" refreshError="1"/>
      <sheetData sheetId="2">
        <row r="11">
          <cell r="C11">
            <v>17.091000000000001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7.4729999999999999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2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Соя на АГП и Тер"/>
      <sheetName val="Ведомость Соя-Терминал"/>
    </sheetNames>
    <sheetDataSet>
      <sheetData sheetId="0" refreshError="1"/>
      <sheetData sheetId="1" refreshError="1"/>
      <sheetData sheetId="2">
        <row r="11">
          <cell r="C11">
            <v>15.122999999999999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5.7569999999999997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2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Соя на АГП и Тер"/>
      <sheetName val="Ведомость Соя-Терминал"/>
    </sheetNames>
    <sheetDataSet>
      <sheetData sheetId="0" refreshError="1"/>
      <sheetData sheetId="1" refreshError="1"/>
      <sheetData sheetId="2">
        <row r="11">
          <cell r="C11">
            <v>15.231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7.327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категории"/>
      <sheetName val="Отклон Агро"/>
      <sheetName val="Отклон Агро (2)"/>
      <sheetName val="коэф"/>
      <sheetName val="часы Ген"/>
      <sheetName val="Агропродукт СН"/>
      <sheetName val="СН_Агро"/>
      <sheetName val="Спейс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Протеин счет"/>
      <sheetName val="ПротеинВН"/>
      <sheetName val="ПротеинСН"/>
      <sheetName val="Нью Лаб счет"/>
      <sheetName val="Нью Лаб СН"/>
      <sheetName val="Ойл счет"/>
      <sheetName val="Ойл"/>
      <sheetName val="параметры"/>
      <sheetName val="Соя на АГП и Тер"/>
      <sheetName val="Линкевич"/>
      <sheetName val="Ведомость Соя-Терминал"/>
      <sheetName val="Ведомость Соя-Агропродукт"/>
    </sheetNames>
    <sheetDataSet>
      <sheetData sheetId="0">
        <row r="3">
          <cell r="F3">
            <v>13515.013999999999</v>
          </cell>
        </row>
        <row r="35">
          <cell r="J35">
            <v>20.157</v>
          </cell>
        </row>
        <row r="36">
          <cell r="J36">
            <v>10.304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2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Соя на АГП и Тер"/>
      <sheetName val="Ведомость Соя-Терминал"/>
    </sheetNames>
    <sheetDataSet>
      <sheetData sheetId="0" refreshError="1"/>
      <sheetData sheetId="1" refreshError="1"/>
      <sheetData sheetId="2">
        <row r="11">
          <cell r="C11">
            <v>15.337999999999999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6.5030000000000001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2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Соя на АГП и Тер"/>
      <sheetName val="Ведомость Соя-Терминал"/>
    </sheetNames>
    <sheetDataSet>
      <sheetData sheetId="0" refreshError="1"/>
      <sheetData sheetId="1" refreshError="1"/>
      <sheetData sheetId="2">
        <row r="11">
          <cell r="C11">
            <v>17.655999999999999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7.47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2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Соя на АГП и Тер"/>
      <sheetName val="Ведомость Соя-Терминал"/>
    </sheetNames>
    <sheetDataSet>
      <sheetData sheetId="0" refreshError="1"/>
      <sheetData sheetId="1" refreshError="1"/>
      <sheetData sheetId="2">
        <row r="31">
          <cell r="C31">
            <v>16.777000000000001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7.2779999999999996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2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Соя на АГП и Тер"/>
      <sheetName val="Ведомость Соя-Терминал"/>
    </sheetNames>
    <sheetDataSet>
      <sheetData sheetId="0" refreshError="1"/>
      <sheetData sheetId="1" refreshError="1"/>
      <sheetData sheetId="2">
        <row r="11">
          <cell r="C11">
            <v>18.245000000000001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7.7270000000000003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свод цена"/>
      <sheetName val="Лист2"/>
      <sheetName val="в=1"/>
    </sheetNames>
    <sheetDataSet>
      <sheetData sheetId="0" refreshError="1"/>
      <sheetData sheetId="1">
        <row r="51">
          <cell r="C51">
            <v>16.701000000000001</v>
          </cell>
        </row>
      </sheetData>
      <sheetData sheetId="2" refreshError="1"/>
      <sheetData sheetId="3">
        <row r="51">
          <cell r="C51">
            <v>8.8919999999999995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акт"/>
      <sheetName val="Факт с НН"/>
      <sheetName val="2016"/>
      <sheetName val="Для Службы"/>
      <sheetName val="свод"/>
      <sheetName val="16_ЛукОйл"/>
      <sheetName val="16_СОЯ"/>
      <sheetName val="16_Терминал"/>
      <sheetName val="16_ЛукОйл (ВН)"/>
      <sheetName val="16_СОЯ (ВН)"/>
      <sheetName val="16_Терминал (ВН)"/>
      <sheetName val="ЛукОйл"/>
      <sheetName val="Оплаты"/>
      <sheetName val="Лист2"/>
      <sheetName val="10 Мв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674</v>
          </cell>
        </row>
        <row r="10">
          <cell r="B10">
            <v>602</v>
          </cell>
        </row>
        <row r="16">
          <cell r="B16">
            <v>608</v>
          </cell>
        </row>
        <row r="22">
          <cell r="B22">
            <v>490</v>
          </cell>
        </row>
        <row r="28">
          <cell r="B28">
            <v>521</v>
          </cell>
        </row>
        <row r="35">
          <cell r="B35">
            <v>483</v>
          </cell>
        </row>
        <row r="42">
          <cell r="B42">
            <v>429</v>
          </cell>
        </row>
        <row r="48">
          <cell r="B48">
            <v>382</v>
          </cell>
        </row>
        <row r="54">
          <cell r="B54">
            <v>381</v>
          </cell>
        </row>
        <row r="60">
          <cell r="B60">
            <v>479</v>
          </cell>
        </row>
        <row r="66">
          <cell r="B66">
            <v>493</v>
          </cell>
        </row>
        <row r="72">
          <cell r="B72">
            <v>611</v>
          </cell>
        </row>
      </sheetData>
      <sheetData sheetId="6">
        <row r="3">
          <cell r="B3">
            <v>6789</v>
          </cell>
        </row>
        <row r="10">
          <cell r="B10">
            <v>7655</v>
          </cell>
        </row>
        <row r="16">
          <cell r="B16">
            <v>7077</v>
          </cell>
        </row>
        <row r="22">
          <cell r="B22">
            <v>6704</v>
          </cell>
        </row>
        <row r="28">
          <cell r="B28">
            <v>7018</v>
          </cell>
        </row>
        <row r="35">
          <cell r="B35">
            <v>7304</v>
          </cell>
        </row>
        <row r="42">
          <cell r="B42">
            <v>7004</v>
          </cell>
        </row>
        <row r="49">
          <cell r="B49">
            <v>6339</v>
          </cell>
        </row>
        <row r="55">
          <cell r="B55">
            <v>7341</v>
          </cell>
        </row>
        <row r="61">
          <cell r="B61">
            <v>6768</v>
          </cell>
        </row>
        <row r="67">
          <cell r="B67">
            <v>7376</v>
          </cell>
        </row>
        <row r="73">
          <cell r="B73">
            <v>8048</v>
          </cell>
        </row>
      </sheetData>
      <sheetData sheetId="7">
        <row r="3">
          <cell r="B3">
            <v>501</v>
          </cell>
        </row>
        <row r="10">
          <cell r="B10">
            <v>537</v>
          </cell>
        </row>
        <row r="16">
          <cell r="B16">
            <v>443</v>
          </cell>
        </row>
        <row r="22">
          <cell r="B22">
            <v>414</v>
          </cell>
        </row>
        <row r="28">
          <cell r="B28">
            <v>374</v>
          </cell>
        </row>
        <row r="34">
          <cell r="B34">
            <v>388</v>
          </cell>
        </row>
        <row r="41">
          <cell r="B41">
            <v>218</v>
          </cell>
        </row>
        <row r="48">
          <cell r="B48">
            <v>299</v>
          </cell>
        </row>
        <row r="55">
          <cell r="B55">
            <v>406</v>
          </cell>
        </row>
        <row r="62">
          <cell r="B62">
            <v>983</v>
          </cell>
        </row>
        <row r="68">
          <cell r="B68">
            <v>1050</v>
          </cell>
        </row>
        <row r="74">
          <cell r="B74">
            <v>1293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свод цена"/>
      <sheetName val="Лист2"/>
      <sheetName val="в=1"/>
    </sheetNames>
    <sheetDataSet>
      <sheetData sheetId="0" refreshError="1"/>
      <sheetData sheetId="1">
        <row r="51">
          <cell r="C51">
            <v>16.029</v>
          </cell>
        </row>
      </sheetData>
      <sheetData sheetId="2" refreshError="1"/>
      <sheetData sheetId="3">
        <row r="51">
          <cell r="C51">
            <v>7.1310000000000002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свод цена"/>
      <sheetName val="Лист2"/>
      <sheetName val="в=1"/>
    </sheetNames>
    <sheetDataSet>
      <sheetData sheetId="0" refreshError="1"/>
      <sheetData sheetId="1">
        <row r="51">
          <cell r="C51">
            <v>9.6989999999999998</v>
          </cell>
        </row>
      </sheetData>
      <sheetData sheetId="2" refreshError="1"/>
      <sheetData sheetId="3">
        <row r="51">
          <cell r="C51">
            <v>8.8919999999999995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свод цена"/>
      <sheetName val="Лист2"/>
      <sheetName val="в=1"/>
    </sheetNames>
    <sheetDataSet>
      <sheetData sheetId="0" refreshError="1"/>
      <sheetData sheetId="1" refreshError="1">
        <row r="51">
          <cell r="C51">
            <v>16.277999999999999</v>
          </cell>
        </row>
      </sheetData>
      <sheetData sheetId="2" refreshError="1"/>
      <sheetData sheetId="3" refreshError="1">
        <row r="51">
          <cell r="C51">
            <v>8.6850000000000005</v>
          </cell>
        </row>
      </sheetData>
      <sheetData sheetId="4" refreshError="1"/>
      <sheetData sheetId="5" refreshError="1"/>
      <sheetData sheetId="6" refreshError="1"/>
      <sheetData sheetId="7">
        <row r="39">
          <cell r="I39">
            <v>2088472.0983199999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2">
          <cell r="I32">
            <v>173643.57269999999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свод цена"/>
      <sheetName val="Лист2"/>
      <sheetName val="в=1"/>
    </sheetNames>
    <sheetDataSet>
      <sheetData sheetId="0" refreshError="1"/>
      <sheetData sheetId="1">
        <row r="51">
          <cell r="C51">
            <v>16.792999999999999</v>
          </cell>
        </row>
      </sheetData>
      <sheetData sheetId="2" refreshError="1"/>
      <sheetData sheetId="3">
        <row r="51">
          <cell r="C51">
            <v>8.8670000000000009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категории"/>
      <sheetName val="Отклон Агро"/>
      <sheetName val="Отклон Агро (2)"/>
      <sheetName val="коэф"/>
      <sheetName val="часы Ген"/>
      <sheetName val="Агропродукт СН"/>
      <sheetName val="СН_Агро"/>
      <sheetName val="Спейс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Протеин счет"/>
      <sheetName val="ПротеинВН"/>
      <sheetName val="ПротеинСН"/>
      <sheetName val="Нью Лаб счет"/>
      <sheetName val="Нью Лаб СН"/>
      <sheetName val="Ойл счет"/>
      <sheetName val="Ойл СН"/>
      <sheetName val="параметры"/>
      <sheetName val="Соя на АГП и Тер"/>
      <sheetName val="Ведомость Соя-Терминал"/>
      <sheetName val="Ведомость Соя-Агропродукт"/>
      <sheetName val="Линкевич"/>
    </sheetNames>
    <sheetDataSet>
      <sheetData sheetId="0">
        <row r="3">
          <cell r="F3">
            <v>14822.398999999999</v>
          </cell>
        </row>
        <row r="35">
          <cell r="J35">
            <v>19.521000000000001</v>
          </cell>
          <cell r="K35">
            <v>8093.7883999999976</v>
          </cell>
        </row>
        <row r="36">
          <cell r="J36">
            <v>10.856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свод цена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Лист2"/>
      <sheetName val="в=1"/>
    </sheetNames>
    <sheetDataSet>
      <sheetData sheetId="0" refreshError="1"/>
      <sheetData sheetId="1">
        <row r="51">
          <cell r="C51">
            <v>16.783999999999999</v>
          </cell>
        </row>
      </sheetData>
      <sheetData sheetId="2" refreshError="1"/>
      <sheetData sheetId="3" refreshError="1"/>
      <sheetData sheetId="4">
        <row r="51">
          <cell r="C51">
            <v>8.6969999999999992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2)"/>
      <sheetName val="Отклонения Агро (4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Своды по месячно"/>
    </sheetNames>
    <sheetDataSet>
      <sheetData sheetId="0"/>
      <sheetData sheetId="1"/>
      <sheetData sheetId="2">
        <row r="52">
          <cell r="K52">
            <v>0.98507999999999996</v>
          </cell>
        </row>
        <row r="81">
          <cell r="C81">
            <v>14.212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4">
          <cell r="C14">
            <v>6.4829999999999997</v>
          </cell>
        </row>
      </sheetData>
      <sheetData sheetId="10"/>
      <sheetData sheetId="11"/>
      <sheetData sheetId="12"/>
      <sheetData sheetId="13">
        <row r="69">
          <cell r="K69">
            <v>1.1390319452799862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4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Своды по месячно"/>
    </sheetNames>
    <sheetDataSet>
      <sheetData sheetId="0" refreshError="1"/>
      <sheetData sheetId="1" refreshError="1"/>
      <sheetData sheetId="2">
        <row r="31">
          <cell r="C31">
            <v>15.657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8.8629999999999995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4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Своды по месячно"/>
    </sheetNames>
    <sheetDataSet>
      <sheetData sheetId="0" refreshError="1"/>
      <sheetData sheetId="1" refreshError="1"/>
      <sheetData sheetId="2">
        <row r="31">
          <cell r="C31">
            <v>16.849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9.0860000000000003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4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Своды по месячно"/>
    </sheetNames>
    <sheetDataSet>
      <sheetData sheetId="0" refreshError="1"/>
      <sheetData sheetId="1" refreshError="1"/>
      <sheetData sheetId="2">
        <row r="31">
          <cell r="C31">
            <v>16.759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8.9049999999999994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2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Своды по месячно"/>
    </sheetNames>
    <sheetDataSet>
      <sheetData sheetId="0" refreshError="1"/>
      <sheetData sheetId="1" refreshError="1"/>
      <sheetData sheetId="2">
        <row r="31">
          <cell r="C31">
            <v>18.061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9.3079999999999998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Лист1"/>
      <sheetName val="Отклонения Агро"/>
      <sheetName val="Отклонения Агро (2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Своды по месячно"/>
    </sheetNames>
    <sheetDataSet>
      <sheetData sheetId="0" refreshError="1"/>
      <sheetData sheetId="1" refreshError="1"/>
      <sheetData sheetId="2">
        <row r="31">
          <cell r="C31">
            <v>18.207999999999998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8.8320000000000007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СОЯ НН"/>
      <sheetName val="Терминал счет"/>
      <sheetName val="Терминал ВН"/>
      <sheetName val="АБК_1"/>
      <sheetName val="МТ"/>
      <sheetName val="ОКС"/>
      <sheetName val="Терминал НН"/>
      <sheetName val="часы Ген"/>
      <sheetName val="коэф"/>
      <sheetName val="Лист1"/>
      <sheetName val="Своды по месячно"/>
      <sheetName val="часыТранс"/>
      <sheetName val="Лист3"/>
      <sheetName val="свод цена"/>
      <sheetName val="Лист2"/>
      <sheetName val="Лист4"/>
    </sheetNames>
    <sheetDataSet>
      <sheetData sheetId="0"/>
      <sheetData sheetId="1">
        <row r="53">
          <cell r="C53">
            <v>16.257000000000001</v>
          </cell>
        </row>
      </sheetData>
      <sheetData sheetId="2"/>
      <sheetData sheetId="3">
        <row r="51">
          <cell r="C51">
            <v>8.3350000000000009</v>
          </cell>
        </row>
      </sheetData>
      <sheetData sheetId="4">
        <row r="5">
          <cell r="F5">
            <v>842</v>
          </cell>
        </row>
      </sheetData>
      <sheetData sheetId="5"/>
      <sheetData sheetId="6"/>
      <sheetData sheetId="7">
        <row r="5">
          <cell r="F5">
            <v>6220</v>
          </cell>
        </row>
        <row r="10">
          <cell r="F10">
            <v>1</v>
          </cell>
        </row>
        <row r="15">
          <cell r="F15">
            <v>18</v>
          </cell>
        </row>
        <row r="20">
          <cell r="F20">
            <v>18</v>
          </cell>
        </row>
        <row r="25">
          <cell r="F25">
            <v>95</v>
          </cell>
        </row>
        <row r="30">
          <cell r="F30">
            <v>20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445</v>
          </cell>
        </row>
        <row r="11">
          <cell r="F11">
            <v>24</v>
          </cell>
        </row>
        <row r="17">
          <cell r="F17">
            <v>22</v>
          </cell>
        </row>
        <row r="23">
          <cell r="F23">
            <v>20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часыТранс"/>
      <sheetName val="Лист3"/>
      <sheetName val="свод цена"/>
      <sheetName val="Лист2"/>
    </sheetNames>
    <sheetDataSet>
      <sheetData sheetId="0" refreshError="1"/>
      <sheetData sheetId="1">
        <row r="53">
          <cell r="C53">
            <v>16.956</v>
          </cell>
        </row>
      </sheetData>
      <sheetData sheetId="2" refreshError="1"/>
      <sheetData sheetId="3">
        <row r="51">
          <cell r="C51">
            <v>8.4849999999999994</v>
          </cell>
        </row>
      </sheetData>
      <sheetData sheetId="4">
        <row r="5">
          <cell r="F5">
            <v>856</v>
          </cell>
        </row>
      </sheetData>
      <sheetData sheetId="5" refreshError="1"/>
      <sheetData sheetId="6" refreshError="1"/>
      <sheetData sheetId="7">
        <row r="5">
          <cell r="F5">
            <v>6819</v>
          </cell>
        </row>
        <row r="10">
          <cell r="F10">
            <v>1</v>
          </cell>
        </row>
        <row r="15">
          <cell r="F15">
            <v>20</v>
          </cell>
        </row>
        <row r="20">
          <cell r="F20">
            <v>3</v>
          </cell>
        </row>
        <row r="25">
          <cell r="F25">
            <v>104</v>
          </cell>
        </row>
        <row r="30">
          <cell r="F30">
            <v>14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F5">
            <v>486</v>
          </cell>
        </row>
        <row r="11">
          <cell r="F11">
            <v>30</v>
          </cell>
        </row>
        <row r="17">
          <cell r="F17">
            <v>22</v>
          </cell>
        </row>
        <row r="23">
          <cell r="F23">
            <v>17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свод цена"/>
      <sheetName val="Лист2"/>
    </sheetNames>
    <sheetDataSet>
      <sheetData sheetId="0" refreshError="1"/>
      <sheetData sheetId="1">
        <row r="53">
          <cell r="C53">
            <v>17.14</v>
          </cell>
        </row>
      </sheetData>
      <sheetData sheetId="2" refreshError="1"/>
      <sheetData sheetId="3">
        <row r="51">
          <cell r="C51">
            <v>8.3840000000000003</v>
          </cell>
        </row>
      </sheetData>
      <sheetData sheetId="4">
        <row r="5">
          <cell r="F5">
            <v>821</v>
          </cell>
        </row>
      </sheetData>
      <sheetData sheetId="5" refreshError="1"/>
      <sheetData sheetId="6" refreshError="1"/>
      <sheetData sheetId="7">
        <row r="5">
          <cell r="F5">
            <v>7450</v>
          </cell>
        </row>
        <row r="10">
          <cell r="F10">
            <v>1</v>
          </cell>
        </row>
        <row r="15">
          <cell r="F15">
            <v>12</v>
          </cell>
        </row>
        <row r="25">
          <cell r="F25">
            <v>72</v>
          </cell>
        </row>
        <row r="30">
          <cell r="F30">
            <v>16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F5">
            <v>259</v>
          </cell>
        </row>
        <row r="11">
          <cell r="F11">
            <v>29</v>
          </cell>
        </row>
        <row r="17">
          <cell r="F17">
            <v>16</v>
          </cell>
        </row>
        <row r="23">
          <cell r="F23">
            <v>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категории"/>
      <sheetName val="Отклон Агро"/>
      <sheetName val="Отклон Агро (2)"/>
      <sheetName val="коэф"/>
      <sheetName val="часы Ген"/>
      <sheetName val="Агропродукт СН"/>
      <sheetName val="СН_Агро"/>
      <sheetName val="Спейс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Протеин счет"/>
      <sheetName val="ПротеинВН"/>
      <sheetName val="ПротеинСН"/>
      <sheetName val="Нью Лаб счет"/>
      <sheetName val="Нью Лаб СН"/>
      <sheetName val="Ойл счет"/>
      <sheetName val="Ойл СН"/>
      <sheetName val="параметры"/>
      <sheetName val="Соя на АГП и Тер"/>
      <sheetName val="Ведомость Соя-Терминал"/>
      <sheetName val="Ведомость Соя-Агропродукт"/>
      <sheetName val="Линкевич"/>
    </sheetNames>
    <sheetDataSet>
      <sheetData sheetId="0">
        <row r="3">
          <cell r="F3">
            <v>12206.145</v>
          </cell>
        </row>
        <row r="35">
          <cell r="J35">
            <v>16.561999999999998</v>
          </cell>
          <cell r="K35">
            <v>6732.2971999999872</v>
          </cell>
        </row>
        <row r="36">
          <cell r="J36">
            <v>9.0010000000000012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свод цена"/>
      <sheetName val="Лист2"/>
    </sheetNames>
    <sheetDataSet>
      <sheetData sheetId="0" refreshError="1"/>
      <sheetData sheetId="1">
        <row r="53">
          <cell r="C53">
            <v>14.994999999999999</v>
          </cell>
        </row>
      </sheetData>
      <sheetData sheetId="2" refreshError="1"/>
      <sheetData sheetId="3">
        <row r="51">
          <cell r="C51">
            <v>7.476</v>
          </cell>
        </row>
      </sheetData>
      <sheetData sheetId="4">
        <row r="6">
          <cell r="F6">
            <v>669</v>
          </cell>
        </row>
      </sheetData>
      <sheetData sheetId="5" refreshError="1"/>
      <sheetData sheetId="6" refreshError="1"/>
      <sheetData sheetId="7">
        <row r="5">
          <cell r="F5">
            <v>6342</v>
          </cell>
        </row>
        <row r="10">
          <cell r="F10">
            <v>1</v>
          </cell>
        </row>
        <row r="15">
          <cell r="F15">
            <v>15</v>
          </cell>
        </row>
        <row r="25">
          <cell r="F25">
            <v>68</v>
          </cell>
        </row>
        <row r="30">
          <cell r="F30">
            <v>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F5">
            <v>211</v>
          </cell>
        </row>
        <row r="11">
          <cell r="F11">
            <v>37</v>
          </cell>
        </row>
        <row r="17">
          <cell r="F17">
            <v>15</v>
          </cell>
        </row>
        <row r="23">
          <cell r="F23">
            <v>13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свод цена"/>
      <sheetName val="Лист2"/>
      <sheetName val="Лист4"/>
    </sheetNames>
    <sheetDataSet>
      <sheetData sheetId="0" refreshError="1"/>
      <sheetData sheetId="1">
        <row r="53">
          <cell r="C53">
            <v>16.952999999999999</v>
          </cell>
        </row>
      </sheetData>
      <sheetData sheetId="2" refreshError="1"/>
      <sheetData sheetId="3">
        <row r="51">
          <cell r="C51">
            <v>9.0630000000000006</v>
          </cell>
        </row>
      </sheetData>
      <sheetData sheetId="4">
        <row r="5">
          <cell r="F5">
            <v>565</v>
          </cell>
        </row>
      </sheetData>
      <sheetData sheetId="5" refreshError="1"/>
      <sheetData sheetId="6" refreshError="1"/>
      <sheetData sheetId="7">
        <row r="5">
          <cell r="F5">
            <v>6841</v>
          </cell>
        </row>
        <row r="10">
          <cell r="F10">
            <v>1</v>
          </cell>
        </row>
        <row r="15">
          <cell r="F15">
            <v>10</v>
          </cell>
        </row>
        <row r="20">
          <cell r="F20">
            <v>2</v>
          </cell>
        </row>
        <row r="25">
          <cell r="F25">
            <v>58</v>
          </cell>
        </row>
        <row r="30">
          <cell r="F30">
            <v>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F5">
            <v>258</v>
          </cell>
        </row>
        <row r="11">
          <cell r="F11">
            <v>26</v>
          </cell>
        </row>
        <row r="17">
          <cell r="F17">
            <v>7</v>
          </cell>
        </row>
        <row r="23">
          <cell r="F23">
            <v>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свод цена"/>
      <sheetName val="Лист2"/>
      <sheetName val="в=1"/>
    </sheetNames>
    <sheetDataSet>
      <sheetData sheetId="0" refreshError="1"/>
      <sheetData sheetId="1">
        <row r="53">
          <cell r="C53">
            <v>16.298999999999999</v>
          </cell>
        </row>
      </sheetData>
      <sheetData sheetId="2" refreshError="1"/>
      <sheetData sheetId="3">
        <row r="51">
          <cell r="C51">
            <v>8.0370000000000008</v>
          </cell>
        </row>
      </sheetData>
      <sheetData sheetId="4">
        <row r="18">
          <cell r="G18">
            <v>355</v>
          </cell>
        </row>
      </sheetData>
      <sheetData sheetId="5" refreshError="1"/>
      <sheetData sheetId="6" refreshError="1"/>
      <sheetData sheetId="7">
        <row r="5">
          <cell r="F5">
            <v>7295</v>
          </cell>
        </row>
        <row r="15">
          <cell r="F15">
            <v>10</v>
          </cell>
        </row>
        <row r="20">
          <cell r="F20">
            <v>4</v>
          </cell>
        </row>
        <row r="25">
          <cell r="F25">
            <v>53</v>
          </cell>
        </row>
        <row r="30">
          <cell r="F30">
            <v>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F5">
            <v>144</v>
          </cell>
        </row>
        <row r="11">
          <cell r="F11">
            <v>29</v>
          </cell>
        </row>
        <row r="17">
          <cell r="F17">
            <v>6</v>
          </cell>
        </row>
        <row r="23">
          <cell r="F23">
            <v>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свод цена"/>
      <sheetName val="Лист2"/>
      <sheetName val="в=1"/>
    </sheetNames>
    <sheetDataSet>
      <sheetData sheetId="0" refreshError="1"/>
      <sheetData sheetId="1">
        <row r="55">
          <cell r="C55">
            <v>11.162000000000001</v>
          </cell>
        </row>
      </sheetData>
      <sheetData sheetId="2" refreshError="1"/>
      <sheetData sheetId="3">
        <row r="51">
          <cell r="C51">
            <v>3.391</v>
          </cell>
        </row>
      </sheetData>
      <sheetData sheetId="4">
        <row r="5">
          <cell r="E5">
            <v>310</v>
          </cell>
        </row>
      </sheetData>
      <sheetData sheetId="5" refreshError="1"/>
      <sheetData sheetId="6" refreshError="1"/>
      <sheetData sheetId="7">
        <row r="5">
          <cell r="F5">
            <v>7054</v>
          </cell>
        </row>
        <row r="15">
          <cell r="F15">
            <v>11</v>
          </cell>
        </row>
        <row r="20">
          <cell r="F20">
            <v>4</v>
          </cell>
        </row>
        <row r="25">
          <cell r="F25">
            <v>50</v>
          </cell>
        </row>
        <row r="30">
          <cell r="F30">
            <v>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F5">
            <v>232</v>
          </cell>
        </row>
        <row r="11">
          <cell r="F11">
            <v>36</v>
          </cell>
        </row>
        <row r="17">
          <cell r="F17">
            <v>5</v>
          </cell>
        </row>
        <row r="23">
          <cell r="F23">
            <v>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свод цена"/>
      <sheetName val="Лист2"/>
      <sheetName val="в=1"/>
    </sheetNames>
    <sheetDataSet>
      <sheetData sheetId="0" refreshError="1"/>
      <sheetData sheetId="1">
        <row r="55">
          <cell r="C55">
            <v>14.425000000000001</v>
          </cell>
        </row>
      </sheetData>
      <sheetData sheetId="2" refreshError="1"/>
      <sheetData sheetId="3">
        <row r="51">
          <cell r="C51">
            <v>8.1530000000000005</v>
          </cell>
        </row>
      </sheetData>
      <sheetData sheetId="4">
        <row r="5">
          <cell r="E5">
            <v>358</v>
          </cell>
        </row>
      </sheetData>
      <sheetData sheetId="5" refreshError="1"/>
      <sheetData sheetId="6" refreshError="1"/>
      <sheetData sheetId="7">
        <row r="5">
          <cell r="F5">
            <v>5325</v>
          </cell>
        </row>
        <row r="10">
          <cell r="F10">
            <v>1</v>
          </cell>
        </row>
        <row r="15">
          <cell r="F15">
            <v>12</v>
          </cell>
        </row>
        <row r="20">
          <cell r="F20">
            <v>5</v>
          </cell>
        </row>
        <row r="25">
          <cell r="F25">
            <v>52</v>
          </cell>
        </row>
        <row r="30">
          <cell r="F30">
            <v>15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F5">
            <v>303</v>
          </cell>
        </row>
        <row r="11">
          <cell r="F11">
            <v>44</v>
          </cell>
        </row>
        <row r="17">
          <cell r="F17">
            <v>5</v>
          </cell>
        </row>
        <row r="23">
          <cell r="F23">
            <v>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Лист2"/>
      <sheetName val="в=1"/>
    </sheetNames>
    <sheetDataSet>
      <sheetData sheetId="0" refreshError="1"/>
      <sheetData sheetId="1">
        <row r="60">
          <cell r="C60">
            <v>17.122</v>
          </cell>
        </row>
      </sheetData>
      <sheetData sheetId="2" refreshError="1"/>
      <sheetData sheetId="3">
        <row r="51">
          <cell r="C51">
            <v>9.0169999999999995</v>
          </cell>
        </row>
      </sheetData>
      <sheetData sheetId="4">
        <row r="5">
          <cell r="E5">
            <v>379</v>
          </cell>
        </row>
      </sheetData>
      <sheetData sheetId="5" refreshError="1"/>
      <sheetData sheetId="6" refreshError="1"/>
      <sheetData sheetId="7">
        <row r="5">
          <cell r="F5">
            <v>7311</v>
          </cell>
        </row>
        <row r="10">
          <cell r="F10">
            <v>1</v>
          </cell>
        </row>
        <row r="15">
          <cell r="F15">
            <v>14</v>
          </cell>
        </row>
        <row r="20">
          <cell r="F20">
            <v>7</v>
          </cell>
        </row>
        <row r="25">
          <cell r="F25">
            <v>57</v>
          </cell>
        </row>
        <row r="30">
          <cell r="F30">
            <v>16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F5">
            <v>269</v>
          </cell>
        </row>
        <row r="11">
          <cell r="F11">
            <v>35</v>
          </cell>
        </row>
        <row r="17">
          <cell r="F17">
            <v>8</v>
          </cell>
        </row>
        <row r="23">
          <cell r="F23">
            <v>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свод цена"/>
      <sheetName val="Лист2"/>
      <sheetName val="в=1"/>
    </sheetNames>
    <sheetDataSet>
      <sheetData sheetId="0" refreshError="1"/>
      <sheetData sheetId="1">
        <row r="55">
          <cell r="C55">
            <v>16.3</v>
          </cell>
        </row>
      </sheetData>
      <sheetData sheetId="2" refreshError="1"/>
      <sheetData sheetId="3">
        <row r="51">
          <cell r="C51">
            <v>8.9629999999999992</v>
          </cell>
        </row>
      </sheetData>
      <sheetData sheetId="4">
        <row r="5">
          <cell r="E5">
            <v>494</v>
          </cell>
        </row>
      </sheetData>
      <sheetData sheetId="5" refreshError="1"/>
      <sheetData sheetId="6" refreshError="1"/>
      <sheetData sheetId="7">
        <row r="5">
          <cell r="F5">
            <v>6110</v>
          </cell>
        </row>
        <row r="10">
          <cell r="F10">
            <v>1</v>
          </cell>
        </row>
        <row r="15">
          <cell r="F15">
            <v>14</v>
          </cell>
        </row>
        <row r="20">
          <cell r="F20">
            <v>12</v>
          </cell>
        </row>
        <row r="25">
          <cell r="F25">
            <v>78</v>
          </cell>
        </row>
        <row r="30">
          <cell r="F30">
            <v>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F5">
            <v>527</v>
          </cell>
        </row>
        <row r="11">
          <cell r="F11">
            <v>34</v>
          </cell>
        </row>
        <row r="17">
          <cell r="F17">
            <v>13</v>
          </cell>
        </row>
        <row r="23">
          <cell r="F23">
            <v>13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Лист2"/>
      <sheetName val="в=1"/>
      <sheetName val="Лист4"/>
    </sheetNames>
    <sheetDataSet>
      <sheetData sheetId="0" refreshError="1"/>
      <sheetData sheetId="1">
        <row r="60">
          <cell r="C60">
            <v>17.097000000000001</v>
          </cell>
        </row>
      </sheetData>
      <sheetData sheetId="2" refreshError="1"/>
      <sheetData sheetId="3">
        <row r="51">
          <cell r="C51">
            <v>8.5459999999999994</v>
          </cell>
        </row>
      </sheetData>
      <sheetData sheetId="4">
        <row r="5">
          <cell r="E5">
            <v>569</v>
          </cell>
        </row>
      </sheetData>
      <sheetData sheetId="5" refreshError="1"/>
      <sheetData sheetId="6" refreshError="1"/>
      <sheetData sheetId="7">
        <row r="5">
          <cell r="F5">
            <v>7547</v>
          </cell>
        </row>
        <row r="10">
          <cell r="F10">
            <v>1</v>
          </cell>
        </row>
        <row r="15">
          <cell r="F15">
            <v>17</v>
          </cell>
        </row>
        <row r="20">
          <cell r="F20">
            <v>16</v>
          </cell>
        </row>
        <row r="25">
          <cell r="F25">
            <v>87</v>
          </cell>
        </row>
        <row r="30">
          <cell r="F30">
            <v>11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F5">
            <v>368</v>
          </cell>
        </row>
        <row r="11">
          <cell r="F11">
            <v>29</v>
          </cell>
        </row>
        <row r="17">
          <cell r="F17">
            <v>15</v>
          </cell>
        </row>
        <row r="23">
          <cell r="F23">
            <v>14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АБК_1"/>
      <sheetName val="МТ"/>
      <sheetName val="ОКС"/>
      <sheetName val="часы Ген"/>
      <sheetName val="коэф"/>
      <sheetName val="Лист1"/>
      <sheetName val="Своды по месячно"/>
      <sheetName val="Лист3"/>
      <sheetName val="свод цена"/>
      <sheetName val="Лист2"/>
      <sheetName val="в=1"/>
    </sheetNames>
    <sheetDataSet>
      <sheetData sheetId="0" refreshError="1"/>
      <sheetData sheetId="1">
        <row r="51">
          <cell r="C51">
            <v>17.952999999999999</v>
          </cell>
        </row>
      </sheetData>
      <sheetData sheetId="2" refreshError="1"/>
      <sheetData sheetId="3">
        <row r="51">
          <cell r="C51">
            <v>9.2629999999999999</v>
          </cell>
        </row>
      </sheetData>
      <sheetData sheetId="4">
        <row r="5">
          <cell r="E5">
            <v>642</v>
          </cell>
        </row>
      </sheetData>
      <sheetData sheetId="5" refreshError="1"/>
      <sheetData sheetId="6" refreshError="1"/>
      <sheetData sheetId="7">
        <row r="5">
          <cell r="F5">
            <v>7343</v>
          </cell>
        </row>
        <row r="10">
          <cell r="F10">
            <v>1</v>
          </cell>
        </row>
        <row r="15">
          <cell r="F15">
            <v>18</v>
          </cell>
        </row>
        <row r="20">
          <cell r="F20">
            <v>16</v>
          </cell>
        </row>
        <row r="25">
          <cell r="F25">
            <v>99</v>
          </cell>
        </row>
        <row r="30">
          <cell r="F30">
            <v>17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F5">
            <v>553</v>
          </cell>
        </row>
        <row r="11">
          <cell r="F11">
            <v>41</v>
          </cell>
        </row>
        <row r="17">
          <cell r="F17">
            <v>26</v>
          </cell>
        </row>
        <row r="23">
          <cell r="F23">
            <v>23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акт"/>
      <sheetName val="Факт с НН"/>
      <sheetName val="свод"/>
      <sheetName val="ЛукОйл"/>
      <sheetName val="СОЯ"/>
      <sheetName val="Терминал"/>
      <sheetName val="ЛукОйл (ВН)"/>
      <sheetName val="СОЯ (ВН)"/>
      <sheetName val="Терминал (ВН)"/>
      <sheetName val="15_ЛукОйл"/>
      <sheetName val="15_СОЯ"/>
      <sheetName val="15_Терминал"/>
      <sheetName val="15_ЛукОйл (ВН)"/>
      <sheetName val="15_СОЯ (ВН)"/>
      <sheetName val="15_Терминал (ВН)"/>
    </sheetNames>
    <sheetDataSet>
      <sheetData sheetId="0"/>
      <sheetData sheetId="1"/>
      <sheetData sheetId="2"/>
      <sheetData sheetId="3">
        <row r="3">
          <cell r="B3">
            <v>793</v>
          </cell>
        </row>
        <row r="10">
          <cell r="B10">
            <v>806</v>
          </cell>
        </row>
        <row r="16">
          <cell r="B16">
            <v>621</v>
          </cell>
        </row>
        <row r="22">
          <cell r="B22">
            <v>377</v>
          </cell>
        </row>
        <row r="28">
          <cell r="B28">
            <v>350</v>
          </cell>
        </row>
        <row r="35">
          <cell r="B35">
            <v>399</v>
          </cell>
        </row>
        <row r="42">
          <cell r="B42">
            <v>555</v>
          </cell>
        </row>
        <row r="49">
          <cell r="B49">
            <v>610</v>
          </cell>
        </row>
        <row r="56">
          <cell r="B56">
            <v>572</v>
          </cell>
        </row>
        <row r="63">
          <cell r="B63">
            <v>701.40000000000009</v>
          </cell>
        </row>
        <row r="70">
          <cell r="B70">
            <v>619</v>
          </cell>
        </row>
        <row r="77">
          <cell r="B77">
            <v>1109.4000000000001</v>
          </cell>
        </row>
      </sheetData>
      <sheetData sheetId="4">
        <row r="3">
          <cell r="B3">
            <v>6151</v>
          </cell>
        </row>
        <row r="10">
          <cell r="B10">
            <v>6566</v>
          </cell>
        </row>
        <row r="16">
          <cell r="B16">
            <v>6425</v>
          </cell>
        </row>
        <row r="22">
          <cell r="B22">
            <v>6127</v>
          </cell>
        </row>
        <row r="28">
          <cell r="B28">
            <v>7289</v>
          </cell>
        </row>
        <row r="35">
          <cell r="B35">
            <v>6802</v>
          </cell>
        </row>
        <row r="42">
          <cell r="B42">
            <v>4204</v>
          </cell>
        </row>
        <row r="49">
          <cell r="B49">
            <v>6887</v>
          </cell>
        </row>
        <row r="56">
          <cell r="B56">
            <v>7161</v>
          </cell>
        </row>
        <row r="63">
          <cell r="B63">
            <v>6473</v>
          </cell>
        </row>
        <row r="70">
          <cell r="B70">
            <v>7420</v>
          </cell>
        </row>
        <row r="77">
          <cell r="B77">
            <v>8150.2599999999993</v>
          </cell>
        </row>
      </sheetData>
      <sheetData sheetId="5">
        <row r="3">
          <cell r="B3">
            <v>409</v>
          </cell>
        </row>
        <row r="10">
          <cell r="B10">
            <v>335</v>
          </cell>
        </row>
        <row r="16">
          <cell r="B16">
            <v>382</v>
          </cell>
        </row>
        <row r="22">
          <cell r="B22">
            <v>377</v>
          </cell>
        </row>
        <row r="28">
          <cell r="B28">
            <v>230</v>
          </cell>
        </row>
        <row r="35">
          <cell r="B35">
            <v>254</v>
          </cell>
        </row>
        <row r="42">
          <cell r="B42">
            <v>183.1</v>
          </cell>
        </row>
        <row r="49">
          <cell r="B49">
            <v>169</v>
          </cell>
        </row>
        <row r="56">
          <cell r="B56">
            <v>358</v>
          </cell>
        </row>
        <row r="63">
          <cell r="B63">
            <v>392</v>
          </cell>
        </row>
        <row r="70">
          <cell r="B70">
            <v>333</v>
          </cell>
        </row>
        <row r="77">
          <cell r="B77">
            <v>440.7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категории"/>
      <sheetName val="Отклон Агро"/>
      <sheetName val="Отклон Агро (2)"/>
      <sheetName val="коэф"/>
      <sheetName val="часы Ген"/>
      <sheetName val="Агропродукт СН"/>
      <sheetName val="СН_Агро"/>
      <sheetName val="Спейс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Протеин счет"/>
      <sheetName val="ПротеинВН"/>
      <sheetName val="ПротеинСН"/>
      <sheetName val="Нью Лаб счет"/>
      <sheetName val="Нью Лаб СН"/>
      <sheetName val="Ойл счет"/>
      <sheetName val="Ойл СН"/>
      <sheetName val="Соя на АГП и Тер"/>
      <sheetName val="Ведомость Соя-Терминал"/>
      <sheetName val="Ведомость Соя-Агропродукт"/>
    </sheetNames>
    <sheetDataSet>
      <sheetData sheetId="0">
        <row r="35">
          <cell r="J35">
            <v>14807.083911999998</v>
          </cell>
          <cell r="K35">
            <v>19.693000000000001</v>
          </cell>
        </row>
        <row r="36">
          <cell r="J36">
            <v>7791.522999999992</v>
          </cell>
          <cell r="K36">
            <v>10.173999999999999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 счет"/>
      <sheetName val="Соя ВН"/>
      <sheetName val="СОЯ НН"/>
      <sheetName val="Терминал счет"/>
      <sheetName val="Терминал ВН"/>
      <sheetName val="Терминал НН"/>
      <sheetName val="часы Ген"/>
      <sheetName val="коэф"/>
      <sheetName val="Лист1"/>
      <sheetName val="Своды по месячно"/>
      <sheetName val="часыТранс"/>
      <sheetName val="Лист3"/>
      <sheetName val="Лист2"/>
      <sheetName val="Лист4"/>
      <sheetName val="Лист5"/>
      <sheetName val="Лист6"/>
    </sheetNames>
    <sheetDataSet>
      <sheetData sheetId="0"/>
      <sheetData sheetId="1">
        <row r="53">
          <cell r="C53">
            <v>14.38</v>
          </cell>
        </row>
      </sheetData>
      <sheetData sheetId="2"/>
      <sheetData sheetId="3">
        <row r="53">
          <cell r="C53">
            <v>6.6790000000000003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СОЯ НН"/>
      <sheetName val="Терминал счет"/>
      <sheetName val="Терминал ВН"/>
      <sheetName val="Терминал НН"/>
      <sheetName val="часы Ген"/>
      <sheetName val="коэф"/>
      <sheetName val="Лист1"/>
      <sheetName val="Своды по месячно"/>
      <sheetName val="часыТранс"/>
      <sheetName val="Лист3"/>
      <sheetName val="Лист2"/>
      <sheetName val="Лист4"/>
      <sheetName val="Лист6"/>
    </sheetNames>
    <sheetDataSet>
      <sheetData sheetId="0"/>
      <sheetData sheetId="1">
        <row r="53">
          <cell r="C53">
            <v>15.329000000000001</v>
          </cell>
        </row>
      </sheetData>
      <sheetData sheetId="2"/>
      <sheetData sheetId="3">
        <row r="53">
          <cell r="C53">
            <v>6.6790000000000003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СОЯ НН"/>
      <sheetName val="Терминал счет"/>
      <sheetName val="Терминал ВН"/>
      <sheetName val="Терминал НН"/>
      <sheetName val="часы Ген"/>
      <sheetName val="коэф"/>
      <sheetName val="Лист1"/>
      <sheetName val="Своды по месячно"/>
      <sheetName val="часыТранс"/>
      <sheetName val="Лист3"/>
      <sheetName val="Лист2"/>
      <sheetName val="Лист4"/>
      <sheetName val="Лист6"/>
    </sheetNames>
    <sheetDataSet>
      <sheetData sheetId="0"/>
      <sheetData sheetId="1">
        <row r="53">
          <cell r="C53">
            <v>14.409000000000001</v>
          </cell>
        </row>
      </sheetData>
      <sheetData sheetId="2"/>
      <sheetData sheetId="3">
        <row r="53">
          <cell r="C53">
            <v>4.476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СОЯ НН"/>
      <sheetName val="Терминал счет"/>
      <sheetName val="Терминал ВН"/>
      <sheetName val="Терминал НН"/>
      <sheetName val="часы Ген"/>
      <sheetName val="коэф"/>
      <sheetName val="Лист1"/>
      <sheetName val="Своды по месячно"/>
      <sheetName val="часыТранс"/>
      <sheetName val="Лист3"/>
      <sheetName val="Лист2"/>
      <sheetName val="Лист4"/>
      <sheetName val="Лист6"/>
    </sheetNames>
    <sheetDataSet>
      <sheetData sheetId="0"/>
      <sheetData sheetId="1">
        <row r="53">
          <cell r="C53">
            <v>11.366</v>
          </cell>
        </row>
      </sheetData>
      <sheetData sheetId="2"/>
      <sheetData sheetId="3">
        <row r="53">
          <cell r="C53">
            <v>5.867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СОЯ НН"/>
      <sheetName val="Терминал счет"/>
      <sheetName val="Терминал ВН"/>
      <sheetName val="Терминал НН"/>
      <sheetName val="часы Ген"/>
      <sheetName val="коэф"/>
      <sheetName val="Лист1"/>
      <sheetName val="Своды по месячно"/>
      <sheetName val="часыТранс"/>
      <sheetName val="Лист3"/>
      <sheetName val="Лист2"/>
      <sheetName val="Лист4"/>
      <sheetName val="Лист6"/>
    </sheetNames>
    <sheetDataSet>
      <sheetData sheetId="0"/>
      <sheetData sheetId="1">
        <row r="53">
          <cell r="C53">
            <v>15.896000000000001</v>
          </cell>
        </row>
      </sheetData>
      <sheetData sheetId="2"/>
      <sheetData sheetId="3">
        <row r="53">
          <cell r="C53">
            <v>5.3029999999999999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СОЯ НН"/>
      <sheetName val="Терминал счет"/>
      <sheetName val="Терминал ВН"/>
      <sheetName val="АБК_1"/>
      <sheetName val="МТ"/>
      <sheetName val="ОКС"/>
      <sheetName val="Терминал НН"/>
      <sheetName val="часы Ген"/>
      <sheetName val="коэф"/>
      <sheetName val="Лист1"/>
      <sheetName val="Своды по месячно"/>
      <sheetName val="часыТранс"/>
      <sheetName val="Лист3"/>
      <sheetName val="Лист2"/>
      <sheetName val="Лист4"/>
      <sheetName val="Лист6"/>
    </sheetNames>
    <sheetDataSet>
      <sheetData sheetId="0"/>
      <sheetData sheetId="1">
        <row r="53">
          <cell r="C53">
            <v>16.742000000000001</v>
          </cell>
        </row>
      </sheetData>
      <sheetData sheetId="2"/>
      <sheetData sheetId="3">
        <row r="53">
          <cell r="C53">
            <v>6.0919999999999996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СОЯ НН"/>
      <sheetName val="Терминал счет"/>
      <sheetName val="Терминал ВН"/>
      <sheetName val="АБК_1"/>
      <sheetName val="МТ"/>
      <sheetName val="ОКС"/>
      <sheetName val="Терминал НН"/>
      <sheetName val="часы Ген"/>
      <sheetName val="коэф"/>
      <sheetName val="Лист1"/>
      <sheetName val="Своды по месячно"/>
      <sheetName val="часыТранс"/>
      <sheetName val="Лист3"/>
      <sheetName val="Лист2"/>
      <sheetName val="Лист4"/>
      <sheetName val="Лист6"/>
    </sheetNames>
    <sheetDataSet>
      <sheetData sheetId="0"/>
      <sheetData sheetId="1">
        <row r="53">
          <cell r="C53">
            <v>13.919</v>
          </cell>
        </row>
      </sheetData>
      <sheetData sheetId="2"/>
      <sheetData sheetId="3">
        <row r="52">
          <cell r="C52">
            <v>6.3565604960000002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СОЯ НН"/>
      <sheetName val="Терминал счет"/>
      <sheetName val="Терминал ВН"/>
      <sheetName val="АБК_1"/>
      <sheetName val="МТ"/>
      <sheetName val="ОКС"/>
      <sheetName val="Терминал НН"/>
      <sheetName val="часы Ген"/>
      <sheetName val="коэф"/>
      <sheetName val="Лист1"/>
      <sheetName val="Своды по месячно"/>
      <sheetName val="часыТранс"/>
      <sheetName val="Лист3"/>
      <sheetName val="Лист4"/>
      <sheetName val="Лист6"/>
    </sheetNames>
    <sheetDataSet>
      <sheetData sheetId="0"/>
      <sheetData sheetId="1">
        <row r="53">
          <cell r="C53">
            <v>16.872</v>
          </cell>
        </row>
      </sheetData>
      <sheetData sheetId="2"/>
      <sheetData sheetId="3">
        <row r="36">
          <cell r="AF36">
            <v>7884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Агропродукт"/>
      <sheetName val="Отклонения Агро"/>
      <sheetName val="Агропродукт СН"/>
      <sheetName val="ЛукОйл счет"/>
      <sheetName val="ЛукОйл"/>
      <sheetName val="Отклонение 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СОЯ НН"/>
      <sheetName val="Терминал счет"/>
      <sheetName val="Терминал ВН"/>
      <sheetName val="АБК_1"/>
      <sheetName val="МТ"/>
      <sheetName val="ОКС"/>
      <sheetName val="Терминал НН"/>
      <sheetName val="часы Ген"/>
      <sheetName val="коэф"/>
      <sheetName val="Лист1"/>
      <sheetName val="Своды по месячно"/>
      <sheetName val="часыТранс"/>
      <sheetName val="Лист3"/>
      <sheetName val="Лист4"/>
      <sheetName val="Лист6"/>
      <sheetName val="Лист2"/>
    </sheetNames>
    <sheetDataSet>
      <sheetData sheetId="0"/>
      <sheetData sheetId="1">
        <row r="53">
          <cell r="C53">
            <v>16.545999999999999</v>
          </cell>
        </row>
      </sheetData>
      <sheetData sheetId="2"/>
      <sheetData sheetId="3">
        <row r="52">
          <cell r="C52">
            <v>6.952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категории"/>
      <sheetName val="Отклон Агро"/>
      <sheetName val="Отклон Агро (2)"/>
      <sheetName val="коэф"/>
      <sheetName val="часы Ген"/>
      <sheetName val="Агропродукт СН"/>
      <sheetName val="СН_Агро"/>
      <sheetName val="Спейс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Протеин счет"/>
      <sheetName val="ПротеинВН"/>
      <sheetName val="ПротеинСН"/>
      <sheetName val="Нью Лаб счет"/>
      <sheetName val="Нью Лаб СН"/>
      <sheetName val="Ойл счет"/>
      <sheetName val="Ойл СН"/>
      <sheetName val="Соя на АГП и Тер"/>
      <sheetName val="Ведомость Соя-Терминал"/>
      <sheetName val="Ведомость Соя-Агропродукт"/>
    </sheetNames>
    <sheetDataSet>
      <sheetData sheetId="0">
        <row r="34">
          <cell r="J34">
            <v>13232.532184800091</v>
          </cell>
          <cell r="K34">
            <v>18.451000000000001</v>
          </cell>
        </row>
        <row r="35">
          <cell r="J35">
            <v>7714.3261999999722</v>
          </cell>
          <cell r="K35">
            <v>10.795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категории"/>
      <sheetName val="Отклон Агро"/>
      <sheetName val="Отклон Агро (2)"/>
      <sheetName val="коэф"/>
      <sheetName val="часы Ген"/>
      <sheetName val="Агропродукт СН"/>
      <sheetName val="СН_Агро"/>
      <sheetName val="Спейс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Протеин счет"/>
      <sheetName val="ПротеинВН"/>
      <sheetName val="ПротеинСН"/>
      <sheetName val="Нью Лаб счет"/>
      <sheetName val="Нью Лаб СН"/>
      <sheetName val="Ойл счет"/>
      <sheetName val="Ойл СН"/>
      <sheetName val="Соя на АГП и Тер"/>
      <sheetName val="Ведомость Соя-Терминал"/>
      <sheetName val="Ведомость Соя-Агропродукт"/>
    </sheetNames>
    <sheetDataSet>
      <sheetData sheetId="0">
        <row r="34">
          <cell r="J34">
            <v>11059.742051999974</v>
          </cell>
        </row>
        <row r="35">
          <cell r="J35">
            <v>6349.7389999999741</v>
          </cell>
          <cell r="K35">
            <v>8.8769999999999989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категории"/>
      <sheetName val="Отклон Агро"/>
      <sheetName val="Отклон Агро (2)"/>
      <sheetName val="коэф"/>
      <sheetName val="часы Ген"/>
      <sheetName val="Агропродукт СН"/>
      <sheetName val="СН_Агро"/>
      <sheetName val="Спейс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Протеин счет"/>
      <sheetName val="ПротеинВН"/>
      <sheetName val="ПротеинСН"/>
      <sheetName val="Нью Лаб счет"/>
      <sheetName val="Нью Лаб СН"/>
      <sheetName val="Ойл счет"/>
      <sheetName val="Ойл ВН"/>
      <sheetName val="Ойл СН"/>
      <sheetName val="Соя на АГП и Тер"/>
      <sheetName val="Ведомость Соя-Терминал"/>
      <sheetName val="Ведомость Соя-Агропродукт"/>
    </sheetNames>
    <sheetDataSet>
      <sheetData sheetId="0">
        <row r="33">
          <cell r="M33">
            <v>18.06200302777777</v>
          </cell>
        </row>
        <row r="34">
          <cell r="K34">
            <v>13191.85647920004</v>
          </cell>
          <cell r="L34">
            <v>7359.1488999999929</v>
          </cell>
          <cell r="M34">
            <v>9.9930000000000003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свод цена"/>
      <sheetName val="Агропродукт"/>
      <sheetName val="категории"/>
      <sheetName val="Отклонения Агро"/>
      <sheetName val="Отклонения Агро (2)"/>
      <sheetName val="коэф"/>
      <sheetName val="часы Ген"/>
      <sheetName val="Агропродукт СН"/>
      <sheetName val="СН_Агро"/>
      <sheetName val="ЛукОйл счет"/>
      <sheetName val="ЛукОйл"/>
      <sheetName val="СОЯ"/>
      <sheetName val="Соя ВН"/>
      <sheetName val="Авто закрыт"/>
      <sheetName val="Авто гост"/>
      <sheetName val="В парк"/>
      <sheetName val="Насосная _2"/>
      <sheetName val="Насос_1"/>
      <sheetName val="Терминал счет"/>
      <sheetName val="Терминал ВН"/>
      <sheetName val="Соя на АГП и Тер"/>
      <sheetName val="Ведомость Соя-Терминал"/>
      <sheetName val="Ведомость Соя-Агропродукт"/>
    </sheetNames>
    <sheetDataSet>
      <sheetData sheetId="0">
        <row r="3">
          <cell r="F3">
            <v>11625.80432629801</v>
          </cell>
        </row>
        <row r="5">
          <cell r="F5">
            <v>4849.7479999776169</v>
          </cell>
        </row>
        <row r="6">
          <cell r="F6">
            <v>6753.9317899999733</v>
          </cell>
        </row>
      </sheetData>
      <sheetData sheetId="1">
        <row r="56">
          <cell r="C56">
            <v>15.496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4">
          <cell r="C14">
            <v>6.7359999999999998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BDDB-8DC9-49AF-8034-F5CD5D93E45B}">
  <dimension ref="A1:I44"/>
  <sheetViews>
    <sheetView tabSelected="1" workbookViewId="0">
      <selection activeCell="F16" sqref="F16"/>
    </sheetView>
  </sheetViews>
  <sheetFormatPr defaultRowHeight="15" outlineLevelRow="1" x14ac:dyDescent="0.25"/>
  <cols>
    <col min="1" max="1" width="29" customWidth="1"/>
    <col min="2" max="2" width="9.42578125" bestFit="1" customWidth="1"/>
    <col min="4" max="4" width="10.42578125" bestFit="1" customWidth="1"/>
  </cols>
  <sheetData>
    <row r="1" spans="1:9" ht="44.25" customHeight="1" x14ac:dyDescent="0.25">
      <c r="A1" s="17" t="s">
        <v>18</v>
      </c>
      <c r="B1" s="17"/>
      <c r="C1" s="17"/>
      <c r="D1" s="17"/>
      <c r="E1" s="17"/>
      <c r="F1" s="18"/>
      <c r="G1" s="18"/>
      <c r="H1" s="18"/>
      <c r="I1" s="18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  <c r="E3" s="1"/>
    </row>
    <row r="5" spans="1:9" x14ac:dyDescent="0.25">
      <c r="A5" t="s">
        <v>35</v>
      </c>
    </row>
    <row r="6" spans="1:9" x14ac:dyDescent="0.25">
      <c r="A6" s="8"/>
      <c r="B6" s="19" t="s">
        <v>16</v>
      </c>
      <c r="C6" s="19"/>
      <c r="D6" s="19"/>
      <c r="E6" s="19"/>
      <c r="F6" s="19" t="s">
        <v>0</v>
      </c>
      <c r="G6" s="19"/>
      <c r="H6" s="19"/>
      <c r="I6" s="19"/>
    </row>
    <row r="7" spans="1:9" x14ac:dyDescent="0.25">
      <c r="A7" s="20" t="s">
        <v>11</v>
      </c>
      <c r="B7" s="21" t="s">
        <v>9</v>
      </c>
      <c r="C7" s="21"/>
      <c r="D7" s="21"/>
      <c r="E7" s="21"/>
      <c r="F7" s="19" t="s">
        <v>9</v>
      </c>
      <c r="G7" s="19"/>
      <c r="H7" s="19"/>
      <c r="I7" s="19"/>
    </row>
    <row r="8" spans="1:9" x14ac:dyDescent="0.25">
      <c r="A8" s="20"/>
      <c r="B8" s="9" t="s">
        <v>12</v>
      </c>
      <c r="C8" s="9" t="s">
        <v>13</v>
      </c>
      <c r="D8" s="9" t="s">
        <v>14</v>
      </c>
      <c r="E8" s="9" t="s">
        <v>15</v>
      </c>
      <c r="F8" s="10" t="s">
        <v>12</v>
      </c>
      <c r="G8" s="11" t="s">
        <v>13</v>
      </c>
      <c r="H8" s="10" t="s">
        <v>14</v>
      </c>
      <c r="I8" s="10" t="s">
        <v>15</v>
      </c>
    </row>
    <row r="9" spans="1:9" x14ac:dyDescent="0.25">
      <c r="A9" s="12" t="s">
        <v>10</v>
      </c>
      <c r="B9" s="9"/>
      <c r="C9" s="9"/>
      <c r="D9" s="9"/>
      <c r="E9" s="9"/>
      <c r="F9" s="10"/>
      <c r="G9" s="11"/>
      <c r="H9" s="10"/>
      <c r="I9" s="10"/>
    </row>
    <row r="10" spans="1:9" x14ac:dyDescent="0.25">
      <c r="A10" s="4" t="s">
        <v>34</v>
      </c>
      <c r="B10" s="5">
        <v>13.467963937399913</v>
      </c>
      <c r="C10" s="6"/>
      <c r="D10" s="6"/>
      <c r="E10" s="6"/>
      <c r="F10" s="3">
        <v>17.940012271505367</v>
      </c>
      <c r="G10" s="3"/>
      <c r="H10" s="2"/>
      <c r="I10" s="2"/>
    </row>
    <row r="11" spans="1:9" outlineLevel="1" x14ac:dyDescent="0.25">
      <c r="A11" s="4" t="s">
        <v>21</v>
      </c>
      <c r="B11" s="5">
        <v>6.2012906929999838</v>
      </c>
      <c r="C11" s="6"/>
      <c r="D11" s="5">
        <v>7.2666732443999296</v>
      </c>
      <c r="E11" s="6"/>
      <c r="F11" s="3">
        <v>8.4879999999999995</v>
      </c>
      <c r="G11" s="2"/>
      <c r="H11" s="16">
        <v>9.4520122715053674</v>
      </c>
      <c r="I11" s="2"/>
    </row>
    <row r="12" spans="1:9" x14ac:dyDescent="0.25">
      <c r="A12" s="13" t="s">
        <v>22</v>
      </c>
      <c r="G12" s="7"/>
    </row>
    <row r="13" spans="1:9" x14ac:dyDescent="0.25">
      <c r="A13" s="4" t="s">
        <v>34</v>
      </c>
      <c r="B13" s="5">
        <v>12.266811379599938</v>
      </c>
      <c r="C13" s="6"/>
      <c r="D13" s="6"/>
      <c r="E13" s="6"/>
      <c r="F13" s="2">
        <v>17.321002902298851</v>
      </c>
      <c r="G13" s="3"/>
      <c r="H13" s="2"/>
      <c r="I13" s="2"/>
    </row>
    <row r="14" spans="1:9" x14ac:dyDescent="0.25">
      <c r="A14" s="4" t="s">
        <v>21</v>
      </c>
      <c r="B14" s="5">
        <v>6.2010926399999926</v>
      </c>
      <c r="C14" s="6"/>
      <c r="D14" s="5">
        <v>6.0657187395999452</v>
      </c>
      <c r="E14" s="6"/>
      <c r="F14" s="2">
        <v>8.7349999999999994</v>
      </c>
      <c r="G14" s="2"/>
      <c r="H14" s="16">
        <v>8.5860029022988513</v>
      </c>
      <c r="I14" s="2"/>
    </row>
    <row r="15" spans="1:9" x14ac:dyDescent="0.25">
      <c r="A15" s="14" t="s">
        <v>23</v>
      </c>
    </row>
    <row r="16" spans="1:9" x14ac:dyDescent="0.25">
      <c r="A16" s="4" t="s">
        <v>34</v>
      </c>
      <c r="B16" s="5">
        <v>14.000331162999968</v>
      </c>
      <c r="C16" s="6"/>
      <c r="D16" s="6"/>
      <c r="E16" s="6"/>
      <c r="F16" s="2">
        <v>18.742008709677417</v>
      </c>
      <c r="G16" s="3"/>
      <c r="H16" s="2"/>
      <c r="I16" s="2"/>
    </row>
    <row r="17" spans="1:9" x14ac:dyDescent="0.25">
      <c r="A17" s="4" t="s">
        <v>21</v>
      </c>
      <c r="B17" s="5">
        <v>6.8202664029999953</v>
      </c>
      <c r="C17" s="6"/>
      <c r="D17" s="5">
        <v>7.180064759999973</v>
      </c>
      <c r="E17" s="6"/>
      <c r="F17" s="2">
        <v>9.0869999999999997</v>
      </c>
      <c r="G17" s="2"/>
      <c r="H17" s="16">
        <v>9.6550087096774178</v>
      </c>
      <c r="I17" s="2"/>
    </row>
    <row r="18" spans="1:9" x14ac:dyDescent="0.25">
      <c r="A18" s="14" t="s">
        <v>24</v>
      </c>
    </row>
    <row r="19" spans="1:9" x14ac:dyDescent="0.25">
      <c r="A19" s="4" t="s">
        <v>34</v>
      </c>
      <c r="B19" s="5"/>
      <c r="C19" s="6"/>
      <c r="D19" s="6"/>
      <c r="E19" s="6"/>
      <c r="F19" s="2"/>
      <c r="G19" s="3"/>
      <c r="H19" s="2"/>
      <c r="I19" s="2"/>
    </row>
    <row r="20" spans="1:9" x14ac:dyDescent="0.25">
      <c r="A20" s="4" t="s">
        <v>21</v>
      </c>
      <c r="B20" s="5"/>
      <c r="C20" s="6"/>
      <c r="D20" s="5"/>
      <c r="E20" s="6"/>
      <c r="F20" s="2"/>
      <c r="G20" s="2"/>
      <c r="H20" s="16"/>
      <c r="I20" s="2"/>
    </row>
    <row r="21" spans="1:9" x14ac:dyDescent="0.25">
      <c r="A21" s="14" t="s">
        <v>1</v>
      </c>
    </row>
    <row r="22" spans="1:9" x14ac:dyDescent="0.25">
      <c r="A22" s="4" t="s">
        <v>34</v>
      </c>
      <c r="B22" s="5"/>
      <c r="C22" s="6"/>
      <c r="D22" s="6"/>
      <c r="E22" s="6"/>
      <c r="F22" s="2"/>
      <c r="G22" s="3"/>
      <c r="H22" s="2"/>
      <c r="I22" s="2"/>
    </row>
    <row r="23" spans="1:9" x14ac:dyDescent="0.25">
      <c r="A23" s="4" t="s">
        <v>21</v>
      </c>
      <c r="B23" s="5"/>
      <c r="C23" s="6"/>
      <c r="D23" s="5"/>
      <c r="E23" s="6"/>
      <c r="F23" s="16"/>
      <c r="G23" s="2"/>
      <c r="H23" s="16"/>
      <c r="I23" s="2"/>
    </row>
    <row r="24" spans="1:9" x14ac:dyDescent="0.25">
      <c r="A24" s="14" t="s">
        <v>2</v>
      </c>
    </row>
    <row r="25" spans="1:9" x14ac:dyDescent="0.25">
      <c r="A25" s="4" t="s">
        <v>34</v>
      </c>
      <c r="B25" s="5"/>
      <c r="C25" s="6"/>
      <c r="D25" s="6"/>
      <c r="E25" s="6"/>
      <c r="F25" s="16"/>
      <c r="G25" s="3"/>
      <c r="H25" s="2"/>
      <c r="I25" s="2"/>
    </row>
    <row r="26" spans="1:9" x14ac:dyDescent="0.25">
      <c r="A26" s="4" t="s">
        <v>21</v>
      </c>
      <c r="B26" s="5"/>
      <c r="C26" s="6"/>
      <c r="D26" s="5"/>
      <c r="E26" s="6"/>
      <c r="F26" s="2"/>
      <c r="G26" s="2"/>
      <c r="H26" s="16"/>
      <c r="I26" s="2"/>
    </row>
    <row r="27" spans="1:9" x14ac:dyDescent="0.25">
      <c r="A27" s="14" t="s">
        <v>3</v>
      </c>
    </row>
    <row r="28" spans="1:9" x14ac:dyDescent="0.25">
      <c r="A28" s="4" t="s">
        <v>34</v>
      </c>
      <c r="B28" s="5"/>
      <c r="C28" s="6"/>
      <c r="D28" s="6"/>
      <c r="E28" s="6"/>
      <c r="F28" s="2"/>
      <c r="G28" s="3"/>
      <c r="H28" s="2"/>
      <c r="I28" s="2"/>
    </row>
    <row r="29" spans="1:9" x14ac:dyDescent="0.25">
      <c r="A29" s="4" t="s">
        <v>21</v>
      </c>
      <c r="B29" s="5"/>
      <c r="C29" s="6"/>
      <c r="D29" s="5"/>
      <c r="E29" s="6"/>
      <c r="F29" s="2"/>
      <c r="G29" s="2"/>
      <c r="H29" s="16"/>
      <c r="I29" s="2"/>
    </row>
    <row r="30" spans="1:9" x14ac:dyDescent="0.25">
      <c r="A30" s="14" t="s">
        <v>4</v>
      </c>
    </row>
    <row r="31" spans="1:9" x14ac:dyDescent="0.25">
      <c r="A31" s="4" t="s">
        <v>34</v>
      </c>
      <c r="B31" s="5"/>
      <c r="C31" s="6"/>
      <c r="D31" s="6"/>
      <c r="E31" s="6"/>
      <c r="F31" s="2"/>
      <c r="G31" s="3"/>
      <c r="H31" s="2"/>
      <c r="I31" s="2"/>
    </row>
    <row r="32" spans="1:9" x14ac:dyDescent="0.25">
      <c r="A32" s="4" t="s">
        <v>21</v>
      </c>
      <c r="B32" s="5"/>
      <c r="C32" s="6"/>
      <c r="D32" s="5"/>
      <c r="E32" s="6"/>
      <c r="F32" s="2"/>
      <c r="G32" s="2"/>
      <c r="H32" s="16"/>
      <c r="I32" s="2"/>
    </row>
    <row r="33" spans="1:9" x14ac:dyDescent="0.25">
      <c r="A33" s="14" t="s">
        <v>5</v>
      </c>
    </row>
    <row r="34" spans="1:9" x14ac:dyDescent="0.25">
      <c r="A34" s="4" t="s">
        <v>34</v>
      </c>
      <c r="B34" s="5"/>
      <c r="C34" s="6"/>
      <c r="D34" s="6"/>
      <c r="E34" s="6"/>
      <c r="F34" s="15"/>
      <c r="G34" s="3"/>
      <c r="H34" s="2"/>
      <c r="I34" s="2"/>
    </row>
    <row r="35" spans="1:9" x14ac:dyDescent="0.25">
      <c r="A35" s="4" t="s">
        <v>21</v>
      </c>
      <c r="B35" s="5"/>
      <c r="C35" s="6"/>
      <c r="D35" s="5"/>
      <c r="E35" s="6"/>
      <c r="F35" s="15"/>
      <c r="G35" s="2"/>
      <c r="H35" s="16"/>
      <c r="I35" s="2"/>
    </row>
    <row r="36" spans="1:9" x14ac:dyDescent="0.25">
      <c r="A36" s="14" t="s">
        <v>6</v>
      </c>
    </row>
    <row r="37" spans="1:9" x14ac:dyDescent="0.25">
      <c r="A37" s="4" t="s">
        <v>34</v>
      </c>
      <c r="B37" s="5"/>
      <c r="C37" s="6"/>
      <c r="D37" s="6"/>
      <c r="E37" s="6"/>
      <c r="F37" s="2"/>
      <c r="G37" s="3"/>
      <c r="H37" s="2"/>
      <c r="I37" s="2"/>
    </row>
    <row r="38" spans="1:9" x14ac:dyDescent="0.25">
      <c r="A38" s="4" t="s">
        <v>21</v>
      </c>
      <c r="B38" s="5"/>
      <c r="C38" s="6"/>
      <c r="D38" s="5"/>
      <c r="E38" s="6"/>
      <c r="F38" s="2"/>
      <c r="G38" s="2"/>
      <c r="H38" s="16"/>
      <c r="I38" s="2"/>
    </row>
    <row r="39" spans="1:9" x14ac:dyDescent="0.25">
      <c r="A39" s="14" t="s">
        <v>7</v>
      </c>
    </row>
    <row r="40" spans="1:9" x14ac:dyDescent="0.25">
      <c r="A40" s="4" t="s">
        <v>34</v>
      </c>
      <c r="B40" s="5"/>
      <c r="C40" s="6"/>
      <c r="D40" s="6"/>
      <c r="E40" s="6"/>
      <c r="F40" s="2"/>
      <c r="G40" s="3"/>
      <c r="H40" s="2"/>
      <c r="I40" s="2"/>
    </row>
    <row r="41" spans="1:9" x14ac:dyDescent="0.25">
      <c r="A41" s="4" t="s">
        <v>21</v>
      </c>
      <c r="B41" s="5"/>
      <c r="C41" s="6"/>
      <c r="D41" s="5"/>
      <c r="E41" s="6"/>
      <c r="F41" s="2"/>
      <c r="G41" s="2"/>
      <c r="H41" s="16"/>
      <c r="I41" s="2"/>
    </row>
    <row r="42" spans="1:9" x14ac:dyDescent="0.25">
      <c r="A42" s="14" t="s">
        <v>8</v>
      </c>
    </row>
    <row r="43" spans="1:9" x14ac:dyDescent="0.25">
      <c r="A43" s="4" t="s">
        <v>34</v>
      </c>
      <c r="B43" s="5"/>
      <c r="C43" s="6"/>
      <c r="D43" s="6"/>
      <c r="E43" s="6"/>
      <c r="F43" s="2"/>
      <c r="G43" s="3"/>
      <c r="H43" s="2"/>
      <c r="I43" s="2"/>
    </row>
    <row r="44" spans="1:9" x14ac:dyDescent="0.25">
      <c r="A44" s="4" t="s">
        <v>21</v>
      </c>
      <c r="B44" s="5"/>
      <c r="C44" s="6"/>
      <c r="D44" s="5"/>
      <c r="E44" s="6"/>
      <c r="F44" s="2"/>
      <c r="G44" s="2"/>
      <c r="H44" s="16"/>
      <c r="I44" s="2"/>
    </row>
  </sheetData>
  <mergeCells count="6">
    <mergeCell ref="A1:I1"/>
    <mergeCell ref="B6:E6"/>
    <mergeCell ref="F6:I6"/>
    <mergeCell ref="A7:A8"/>
    <mergeCell ref="B7:E7"/>
    <mergeCell ref="F7:I7"/>
  </mergeCells>
  <pageMargins left="0.7" right="0.7" top="0.75" bottom="0.75" header="0.3" footer="0.3"/>
  <pageSetup paperSize="9" orientation="portrait" r:id="rId1"/>
  <headerFooter>
    <oddHeader>&amp;L&amp;"Calibri"&amp;9&amp;K000000Corporate&amp;1#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workbookViewId="0">
      <selection activeCell="K15" sqref="K15"/>
    </sheetView>
  </sheetViews>
  <sheetFormatPr defaultRowHeight="15" outlineLevelRow="1" x14ac:dyDescent="0.25"/>
  <cols>
    <col min="1" max="1" width="29" customWidth="1"/>
  </cols>
  <sheetData>
    <row r="1" spans="1:9" ht="44.25" customHeight="1" x14ac:dyDescent="0.25">
      <c r="A1" s="17" t="s">
        <v>18</v>
      </c>
      <c r="B1" s="17"/>
      <c r="C1" s="17"/>
      <c r="D1" s="17"/>
      <c r="E1" s="17"/>
      <c r="F1" s="18"/>
      <c r="G1" s="18"/>
      <c r="H1" s="18"/>
      <c r="I1" s="18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  <c r="E3" s="1"/>
    </row>
    <row r="5" spans="1:9" x14ac:dyDescent="0.25">
      <c r="A5" t="s">
        <v>28</v>
      </c>
    </row>
    <row r="6" spans="1:9" x14ac:dyDescent="0.25">
      <c r="A6" s="8"/>
      <c r="B6" s="19" t="s">
        <v>16</v>
      </c>
      <c r="C6" s="19"/>
      <c r="D6" s="19"/>
      <c r="E6" s="19"/>
      <c r="F6" s="19" t="s">
        <v>0</v>
      </c>
      <c r="G6" s="19"/>
      <c r="H6" s="19"/>
      <c r="I6" s="19"/>
    </row>
    <row r="7" spans="1:9" x14ac:dyDescent="0.25">
      <c r="A7" s="20" t="s">
        <v>11</v>
      </c>
      <c r="B7" s="21" t="s">
        <v>9</v>
      </c>
      <c r="C7" s="21"/>
      <c r="D7" s="21"/>
      <c r="E7" s="21"/>
      <c r="F7" s="19" t="str">
        <f>B7</f>
        <v>Уровень напряжения</v>
      </c>
      <c r="G7" s="19"/>
      <c r="H7" s="19"/>
      <c r="I7" s="19"/>
    </row>
    <row r="8" spans="1:9" x14ac:dyDescent="0.25">
      <c r="A8" s="20"/>
      <c r="B8" s="9" t="s">
        <v>12</v>
      </c>
      <c r="C8" s="9" t="s">
        <v>13</v>
      </c>
      <c r="D8" s="9" t="s">
        <v>14</v>
      </c>
      <c r="E8" s="9" t="s">
        <v>15</v>
      </c>
      <c r="F8" s="10" t="str">
        <f>B8</f>
        <v>ВН</v>
      </c>
      <c r="G8" s="11" t="str">
        <f>C8</f>
        <v>СН</v>
      </c>
      <c r="H8" s="10" t="str">
        <f>D8</f>
        <v>СН II</v>
      </c>
      <c r="I8" s="10" t="str">
        <f>E8</f>
        <v>НН</v>
      </c>
    </row>
    <row r="9" spans="1:9" x14ac:dyDescent="0.25">
      <c r="A9" s="12" t="s">
        <v>10</v>
      </c>
      <c r="B9" s="9"/>
      <c r="C9" s="9"/>
      <c r="D9" s="9"/>
      <c r="E9" s="9"/>
      <c r="F9" s="10"/>
      <c r="G9" s="11"/>
      <c r="H9" s="10"/>
      <c r="I9" s="10"/>
    </row>
    <row r="10" spans="1:9" x14ac:dyDescent="0.25">
      <c r="A10" s="4" t="s">
        <v>20</v>
      </c>
      <c r="B10" s="5">
        <f>B11+D11</f>
        <v>12.495999999999999</v>
      </c>
      <c r="C10" s="6"/>
      <c r="D10" s="6"/>
      <c r="E10" s="6" t="s">
        <v>17</v>
      </c>
      <c r="F10" s="2">
        <f>[37]Агропродукт!$C$53</f>
        <v>16.257000000000001</v>
      </c>
      <c r="G10" s="3"/>
      <c r="H10" s="2"/>
      <c r="I10" s="2"/>
    </row>
    <row r="11" spans="1:9" outlineLevel="1" x14ac:dyDescent="0.25">
      <c r="A11" s="4" t="s">
        <v>21</v>
      </c>
      <c r="B11" s="5">
        <v>6.202</v>
      </c>
      <c r="C11" s="6"/>
      <c r="D11" s="6">
        <v>6.2939999999999996</v>
      </c>
      <c r="E11" s="6"/>
      <c r="F11" s="2">
        <f>'[37]Агропродукт СН'!$C$51</f>
        <v>8.3350000000000009</v>
      </c>
      <c r="G11" s="2"/>
      <c r="H11" s="2">
        <f>('[37]ЛукОйл счет'!$F$5+[37]СОЯ!$F$5+[37]СОЯ!$F$10+[37]СОЯ!$F$15+[37]СОЯ!$F$20+[37]СОЯ!$F$25+[37]СОЯ!$F$30+'[37]Терминал счет'!$F$5+'[37]Терминал счет'!$F$11+'[37]Терминал счет'!$F$17+'[37]Терминал счет'!$F$23)/1000</f>
        <v>7.7249999999999996</v>
      </c>
      <c r="I11" s="2"/>
    </row>
    <row r="12" spans="1:9" x14ac:dyDescent="0.25">
      <c r="A12" s="13" t="s">
        <v>22</v>
      </c>
      <c r="G12" s="7"/>
    </row>
    <row r="13" spans="1:9" x14ac:dyDescent="0.25">
      <c r="A13" s="4" t="s">
        <v>20</v>
      </c>
      <c r="B13" s="5">
        <f>B14+D14</f>
        <v>11.329000000000001</v>
      </c>
      <c r="C13" s="6"/>
      <c r="D13" s="6"/>
      <c r="E13" s="6" t="s">
        <v>17</v>
      </c>
      <c r="F13" s="2">
        <f>[38]Агропродукт!$C$53</f>
        <v>16.956</v>
      </c>
      <c r="G13" s="3"/>
      <c r="H13" s="2"/>
      <c r="I13" s="2"/>
    </row>
    <row r="14" spans="1:9" x14ac:dyDescent="0.25">
      <c r="A14" s="4" t="s">
        <v>21</v>
      </c>
      <c r="B14" s="5">
        <v>5.702</v>
      </c>
      <c r="C14" s="6"/>
      <c r="D14" s="6">
        <v>5.6269999999999998</v>
      </c>
      <c r="E14" s="6"/>
      <c r="F14" s="2">
        <f>'[38]Агропродукт СН'!$C$51</f>
        <v>8.4849999999999994</v>
      </c>
      <c r="G14" s="2"/>
      <c r="H14" s="2">
        <f>('[38]ЛукОйл счет'!$F$5+[38]СОЯ!$F$5+[38]СОЯ!$F$10+[38]СОЯ!$F$15+[38]СОЯ!$F$20+[38]СОЯ!$F$25+[38]СОЯ!$F$30+'[38]Терминал счет'!$F$5+'[38]Терминал счет'!$F$11+'[38]Терминал счет'!$F$17+'[38]Терминал счет'!$F$23)/1000</f>
        <v>8.3719999999999999</v>
      </c>
      <c r="I14" s="2"/>
    </row>
    <row r="15" spans="1:9" x14ac:dyDescent="0.25">
      <c r="A15" s="14" t="s">
        <v>23</v>
      </c>
    </row>
    <row r="16" spans="1:9" x14ac:dyDescent="0.25">
      <c r="A16" s="4" t="s">
        <v>20</v>
      </c>
      <c r="B16" s="5">
        <f>B17+D17</f>
        <v>12.722000000000001</v>
      </c>
      <c r="C16" s="6"/>
      <c r="D16" s="6"/>
      <c r="E16" s="6" t="s">
        <v>17</v>
      </c>
      <c r="F16" s="2">
        <f>[39]Агропродукт!$C$53</f>
        <v>17.14</v>
      </c>
      <c r="G16" s="3"/>
      <c r="H16" s="2"/>
      <c r="I16" s="2"/>
    </row>
    <row r="17" spans="1:9" x14ac:dyDescent="0.25">
      <c r="A17" s="4" t="s">
        <v>21</v>
      </c>
      <c r="B17" s="5">
        <v>6.2370000000000001</v>
      </c>
      <c r="C17" s="6"/>
      <c r="D17" s="6">
        <v>6.4850000000000003</v>
      </c>
      <c r="E17" s="6"/>
      <c r="F17" s="2">
        <f>'[39]Агропродукт СН'!$C$51</f>
        <v>8.3840000000000003</v>
      </c>
      <c r="G17" s="2"/>
      <c r="H17" s="2">
        <f>('[39]ЛукОйл счет'!$F$5+[39]СОЯ!$F$5+[39]СОЯ!$F$10+[39]СОЯ!$F$15+[39]СОЯ!$F$25+[39]СОЯ!$F$30+'[39]Терминал счет'!$F$23+'[39]Терминал счет'!$F$17+'[39]Терминал счет'!$F$11+'[39]Терминал счет'!$F$5)/1000</f>
        <v>8.6910000000000007</v>
      </c>
      <c r="I17" s="2"/>
    </row>
    <row r="18" spans="1:9" x14ac:dyDescent="0.25">
      <c r="A18" s="14" t="s">
        <v>24</v>
      </c>
    </row>
    <row r="19" spans="1:9" x14ac:dyDescent="0.25">
      <c r="A19" s="4" t="s">
        <v>20</v>
      </c>
      <c r="B19" s="5">
        <f>B20+D20</f>
        <v>10.931000000000001</v>
      </c>
      <c r="C19" s="6"/>
      <c r="D19" s="6"/>
      <c r="E19" s="6" t="s">
        <v>17</v>
      </c>
      <c r="F19" s="2">
        <f>[40]Агропродукт!$C$53</f>
        <v>14.994999999999999</v>
      </c>
      <c r="G19" s="3"/>
      <c r="H19" s="2"/>
      <c r="I19" s="2"/>
    </row>
    <row r="20" spans="1:9" x14ac:dyDescent="0.25">
      <c r="A20" s="4" t="s">
        <v>21</v>
      </c>
      <c r="B20" s="5">
        <v>5.383</v>
      </c>
      <c r="C20" s="6"/>
      <c r="D20" s="6">
        <v>5.548</v>
      </c>
      <c r="E20" s="6"/>
      <c r="F20" s="2">
        <f>'[40]Агропродукт СН'!$C$51</f>
        <v>7.476</v>
      </c>
      <c r="G20" s="2"/>
      <c r="H20" s="2">
        <f>('[40]ЛукОйл счет'!$F$6+[40]СОЯ!$F$30+[40]СОЯ!$F$25+[40]СОЯ!$F$15+[40]СОЯ!$F$10+[40]СОЯ!$F$5+'[40]Терминал счет'!$F$23+'[40]Терминал счет'!$F$17+'[40]Терминал счет'!$F$11+'[40]Терминал счет'!$F$5)/1000</f>
        <v>7.38</v>
      </c>
      <c r="I20" s="2"/>
    </row>
    <row r="21" spans="1:9" x14ac:dyDescent="0.25">
      <c r="A21" s="14" t="s">
        <v>1</v>
      </c>
    </row>
    <row r="22" spans="1:9" x14ac:dyDescent="0.25">
      <c r="A22" s="4" t="s">
        <v>20</v>
      </c>
      <c r="B22" s="5">
        <f>B23+D23</f>
        <v>11.679</v>
      </c>
      <c r="C22" s="6"/>
      <c r="D22" s="6"/>
      <c r="E22" s="6" t="s">
        <v>17</v>
      </c>
      <c r="F22" s="2">
        <f>[41]Агропродукт!$C$53</f>
        <v>16.952999999999999</v>
      </c>
      <c r="G22" s="3"/>
      <c r="H22" s="2"/>
      <c r="I22" s="2"/>
    </row>
    <row r="23" spans="1:9" x14ac:dyDescent="0.25">
      <c r="A23" s="4" t="s">
        <v>21</v>
      </c>
      <c r="B23" s="5">
        <v>6.2370000000000001</v>
      </c>
      <c r="C23" s="6"/>
      <c r="D23" s="6">
        <v>5.4420000000000002</v>
      </c>
      <c r="E23" s="6"/>
      <c r="F23" s="2">
        <f>'[41]Агропродукт СН'!$C$51</f>
        <v>9.0630000000000006</v>
      </c>
      <c r="G23" s="2"/>
      <c r="H23" s="2">
        <f>('[41]ЛукОйл счет'!$F$5+[41]СОЯ!$F$30+[41]СОЯ!$F$25+[41]СОЯ!$F$20+[41]СОЯ!$F$15+[41]СОЯ!$F$10+[41]СОЯ!$F$5+'[41]Терминал счет'!$F$23+'[41]Терминал счет'!$F$17+'[41]Терминал счет'!$F$11+'[41]Терминал счет'!$F$5)/1000</f>
        <v>7.7839999999999998</v>
      </c>
      <c r="I23" s="2"/>
    </row>
    <row r="24" spans="1:9" x14ac:dyDescent="0.25">
      <c r="A24" s="14" t="s">
        <v>2</v>
      </c>
    </row>
    <row r="25" spans="1:9" x14ac:dyDescent="0.25">
      <c r="A25" s="4" t="s">
        <v>20</v>
      </c>
      <c r="B25" s="5">
        <f>B26+D26</f>
        <v>11.487</v>
      </c>
      <c r="C25" s="6"/>
      <c r="D25" s="6"/>
      <c r="E25" s="6" t="s">
        <v>17</v>
      </c>
      <c r="F25" s="2">
        <f>[42]Агропродукт!$C$53</f>
        <v>16.298999999999999</v>
      </c>
      <c r="G25" s="3"/>
      <c r="H25" s="2"/>
      <c r="I25" s="2"/>
    </row>
    <row r="26" spans="1:9" x14ac:dyDescent="0.25">
      <c r="A26" s="4" t="s">
        <v>21</v>
      </c>
      <c r="B26" s="5">
        <v>5.7919999999999998</v>
      </c>
      <c r="C26" s="6"/>
      <c r="D26" s="6">
        <v>5.6950000000000003</v>
      </c>
      <c r="E26" s="6"/>
      <c r="F26" s="2">
        <f>'[42]Агропродукт СН'!$C$51</f>
        <v>8.0370000000000008</v>
      </c>
      <c r="G26" s="2"/>
      <c r="H26" s="2">
        <f>('[42]ЛукОйл счет'!$G$18+[42]СОЯ!$F$30+[42]СОЯ!$F$25+[42]СОЯ!$F$20+[42]СОЯ!$F$15+[42]СОЯ!$F$5+'[42]Терминал счет'!$F$23+'[42]Терминал счет'!$F$17+'[42]Терминал счет'!$F$11+'[42]Терминал счет'!$F$5)/1000</f>
        <v>7.91</v>
      </c>
      <c r="I26" s="2"/>
    </row>
    <row r="27" spans="1:9" x14ac:dyDescent="0.25">
      <c r="A27" s="14" t="s">
        <v>3</v>
      </c>
    </row>
    <row r="28" spans="1:9" x14ac:dyDescent="0.25">
      <c r="A28" s="4" t="s">
        <v>20</v>
      </c>
      <c r="B28" s="5">
        <f>B29+D29</f>
        <v>8.4879999999999995</v>
      </c>
      <c r="C28" s="6"/>
      <c r="D28" s="6"/>
      <c r="E28" s="6" t="s">
        <v>17</v>
      </c>
      <c r="F28" s="2">
        <f>[43]Агропродукт!$C$55</f>
        <v>11.162000000000001</v>
      </c>
      <c r="G28" s="3"/>
      <c r="H28" s="2"/>
      <c r="I28" s="2"/>
    </row>
    <row r="29" spans="1:9" x14ac:dyDescent="0.25">
      <c r="A29" s="4" t="s">
        <v>21</v>
      </c>
      <c r="B29" s="5">
        <v>2.6589999999999998</v>
      </c>
      <c r="C29" s="6"/>
      <c r="D29" s="6">
        <v>5.8289999999999997</v>
      </c>
      <c r="E29" s="6"/>
      <c r="F29" s="2">
        <f>'[43]Агропродукт СН'!$C$51</f>
        <v>3.391</v>
      </c>
      <c r="G29" s="2"/>
      <c r="H29" s="2">
        <f>('[43]ЛукОйл счет'!$E$5+[43]СОЯ!$F$30+[43]СОЯ!$F$25+[43]СОЯ!$F$20+[43]СОЯ!$F$15+[43]СОЯ!$F$5+'[43]Терминал счет'!$F$23+'[43]Терминал счет'!$F$17+'[43]Терминал счет'!$F$11+'[43]Терминал счет'!$F$5)/1000</f>
        <v>7.7169999999999996</v>
      </c>
      <c r="I29" s="2"/>
    </row>
    <row r="30" spans="1:9" x14ac:dyDescent="0.25">
      <c r="A30" s="14" t="s">
        <v>4</v>
      </c>
    </row>
    <row r="31" spans="1:9" x14ac:dyDescent="0.25">
      <c r="A31" s="4" t="s">
        <v>20</v>
      </c>
      <c r="B31" s="5">
        <f>B32+D32</f>
        <v>10.530999999999999</v>
      </c>
      <c r="C31" s="6"/>
      <c r="D31" s="6"/>
      <c r="E31" s="6" t="s">
        <v>17</v>
      </c>
      <c r="F31" s="2">
        <f>[44]Агропродукт!$C$55</f>
        <v>14.425000000000001</v>
      </c>
      <c r="G31" s="3"/>
      <c r="H31" s="2"/>
      <c r="I31" s="2"/>
    </row>
    <row r="32" spans="1:9" x14ac:dyDescent="0.25">
      <c r="A32" s="4" t="s">
        <v>21</v>
      </c>
      <c r="B32" s="5">
        <v>6.0659999999999998</v>
      </c>
      <c r="C32" s="6"/>
      <c r="D32" s="6">
        <v>4.4649999999999999</v>
      </c>
      <c r="E32" s="6"/>
      <c r="F32" s="2">
        <f>'[44]Агропродукт СН'!$C$51</f>
        <v>8.1530000000000005</v>
      </c>
      <c r="G32" s="2"/>
      <c r="H32" s="2">
        <f>('[44]ЛукОйл счет'!$E$5+[44]СОЯ!$F$30+[44]СОЯ!$F$25+[44]СОЯ!$F$20+[44]СОЯ!$F$15+[44]СОЯ!$F$10+[44]СОЯ!$F$5+'[44]Терминал счет'!$F$23+'[44]Терминал счет'!$F$17+'[44]Терминал счет'!$F$11+'[44]Терминал счет'!$F$5)/1000</f>
        <v>6.1219999999999999</v>
      </c>
      <c r="I32" s="2"/>
    </row>
    <row r="33" spans="1:9" x14ac:dyDescent="0.25">
      <c r="A33" s="14" t="s">
        <v>5</v>
      </c>
    </row>
    <row r="34" spans="1:9" x14ac:dyDescent="0.25">
      <c r="A34" s="4" t="s">
        <v>20</v>
      </c>
      <c r="B34" s="5">
        <f>B35+D35</f>
        <v>12.314</v>
      </c>
      <c r="C34" s="6"/>
      <c r="D34" s="6"/>
      <c r="E34" s="6" t="s">
        <v>17</v>
      </c>
      <c r="F34" s="2">
        <f>[45]Агропродукт!$C$60</f>
        <v>17.122</v>
      </c>
      <c r="G34" s="3"/>
      <c r="H34" s="2"/>
      <c r="I34" s="2"/>
    </row>
    <row r="35" spans="1:9" x14ac:dyDescent="0.25">
      <c r="A35" s="4" t="s">
        <v>21</v>
      </c>
      <c r="B35" s="5">
        <v>6.492</v>
      </c>
      <c r="C35" s="6"/>
      <c r="D35" s="6">
        <v>5.8220000000000001</v>
      </c>
      <c r="E35" s="6"/>
      <c r="F35" s="2">
        <f>'[45]Агропродукт СН'!$C$51</f>
        <v>9.0169999999999995</v>
      </c>
      <c r="G35" s="2"/>
      <c r="H35" s="2">
        <f>('[45]ЛукОйл счет'!$E$5+[45]СОЯ!$F$30+[45]СОЯ!$F$25+[45]СОЯ!$F$20+[45]СОЯ!$F$15+[45]СОЯ!$F$10+[45]СОЯ!$F$5+'[45]Терминал счет'!$F$23+'[45]Терминал счет'!$F$17+'[45]Терминал счет'!$F$11+'[45]Терминал счет'!$F$5)/1000</f>
        <v>8.1</v>
      </c>
      <c r="I35" s="2"/>
    </row>
    <row r="36" spans="1:9" x14ac:dyDescent="0.25">
      <c r="A36" s="14" t="s">
        <v>6</v>
      </c>
    </row>
    <row r="37" spans="1:9" x14ac:dyDescent="0.25">
      <c r="A37" s="4" t="s">
        <v>20</v>
      </c>
      <c r="B37" s="5">
        <f>B38+D38</f>
        <v>12.164999999999999</v>
      </c>
      <c r="C37" s="6"/>
      <c r="D37" s="6"/>
      <c r="E37" s="6" t="s">
        <v>17</v>
      </c>
      <c r="F37" s="2">
        <f>[46]Агропродукт!$C$55</f>
        <v>16.3</v>
      </c>
      <c r="G37" s="3"/>
      <c r="H37" s="2"/>
      <c r="I37" s="2"/>
    </row>
    <row r="38" spans="1:9" x14ac:dyDescent="0.25">
      <c r="A38" s="4" t="s">
        <v>21</v>
      </c>
      <c r="B38" s="5">
        <v>6.6680000000000001</v>
      </c>
      <c r="C38" s="6"/>
      <c r="D38" s="6">
        <v>5.4969999999999999</v>
      </c>
      <c r="E38" s="6"/>
      <c r="F38" s="2">
        <f>'[46]Агропродукт СН'!$C$51</f>
        <v>8.9629999999999992</v>
      </c>
      <c r="G38" s="2"/>
      <c r="H38" s="2">
        <f>('[46]ЛукОйл счет'!$E$5+[46]СОЯ!$F$5+[46]СОЯ!$F$10+[46]СОЯ!$F$15+[46]СОЯ!$F$20+[46]СОЯ!$F$25+[46]СОЯ!$F$30+'[46]Терминал счет'!$F$5+'[46]Терминал счет'!$F$11+'[46]Терминал счет'!$F$17+'[46]Терминал счет'!$F$23)/1000</f>
        <v>7.3029999999999999</v>
      </c>
      <c r="I38" s="2"/>
    </row>
    <row r="39" spans="1:9" x14ac:dyDescent="0.25">
      <c r="A39" s="14" t="s">
        <v>7</v>
      </c>
    </row>
    <row r="40" spans="1:9" x14ac:dyDescent="0.25">
      <c r="A40" s="4" t="s">
        <v>20</v>
      </c>
      <c r="B40" s="5">
        <f>B41+D41</f>
        <v>12.135</v>
      </c>
      <c r="C40" s="6"/>
      <c r="D40" s="6"/>
      <c r="E40" s="6" t="s">
        <v>17</v>
      </c>
      <c r="F40" s="2">
        <f>[47]Агропродукт!$C$60</f>
        <v>17.097000000000001</v>
      </c>
      <c r="G40" s="3"/>
      <c r="H40" s="2"/>
      <c r="I40" s="2"/>
    </row>
    <row r="41" spans="1:9" x14ac:dyDescent="0.25">
      <c r="A41" s="4" t="s">
        <v>21</v>
      </c>
      <c r="B41" s="5">
        <v>6.1529999999999996</v>
      </c>
      <c r="C41" s="6"/>
      <c r="D41" s="6">
        <v>5.9820000000000002</v>
      </c>
      <c r="E41" s="6"/>
      <c r="F41" s="2">
        <f>'[47]Агропродукт СН'!$C$51</f>
        <v>8.5459999999999994</v>
      </c>
      <c r="G41" s="2"/>
      <c r="H41" s="2">
        <f>('[47]ЛукОйл счет'!$E$5+[47]СОЯ!$F$5+[47]СОЯ!$F$10+[47]СОЯ!$F$15+[47]СОЯ!$F$20+[47]СОЯ!$F$25+[47]СОЯ!$F$30+'[47]Терминал счет'!$F$5+'[47]Терминал счет'!$F$11+'[47]Терминал счет'!$F$17+'[47]Терминал счет'!$F$23)/1000</f>
        <v>8.6739999999999995</v>
      </c>
      <c r="I41" s="2"/>
    </row>
    <row r="42" spans="1:9" x14ac:dyDescent="0.25">
      <c r="A42" s="14" t="s">
        <v>8</v>
      </c>
    </row>
    <row r="43" spans="1:9" x14ac:dyDescent="0.25">
      <c r="A43" s="4" t="s">
        <v>20</v>
      </c>
      <c r="B43" s="5">
        <f>B44+D44</f>
        <v>13.216000000000001</v>
      </c>
      <c r="C43" s="6"/>
      <c r="D43" s="6"/>
      <c r="E43" s="6" t="s">
        <v>17</v>
      </c>
      <c r="F43" s="2">
        <f>[48]Агропродукт!$C$51</f>
        <v>17.952999999999999</v>
      </c>
      <c r="G43" s="3"/>
      <c r="H43" s="2"/>
      <c r="I43" s="2"/>
    </row>
    <row r="44" spans="1:9" x14ac:dyDescent="0.25">
      <c r="A44" s="4" t="s">
        <v>21</v>
      </c>
      <c r="B44" s="5">
        <v>6.8920000000000003</v>
      </c>
      <c r="C44" s="6"/>
      <c r="D44" s="6">
        <v>6.3239999999999998</v>
      </c>
      <c r="E44" s="6"/>
      <c r="F44" s="2">
        <f>'[48]Агропродукт СН'!$C$51</f>
        <v>9.2629999999999999</v>
      </c>
      <c r="G44" s="2"/>
      <c r="H44" s="2">
        <f>('[48]ЛукОйл счет'!$E$5+[48]СОЯ!$F$5+[48]СОЯ!$F$10+[48]СОЯ!$F$15+[48]СОЯ!$F$20+[48]СОЯ!$F$25+[48]СОЯ!$F$30+'[48]Терминал счет'!$F$5+'[48]Терминал счет'!$F$11+'[48]Терминал счет'!$F$17+'[48]Терминал счет'!$F$23)/1000</f>
        <v>8.7789999999999999</v>
      </c>
      <c r="I44" s="2"/>
    </row>
  </sheetData>
  <mergeCells count="6">
    <mergeCell ref="A1:I1"/>
    <mergeCell ref="B6:E6"/>
    <mergeCell ref="F6:I6"/>
    <mergeCell ref="A7:A8"/>
    <mergeCell ref="B7:E7"/>
    <mergeCell ref="F7:I7"/>
  </mergeCells>
  <pageMargins left="0.7" right="0.7" top="0.75" bottom="0.75" header="0.3" footer="0.3"/>
  <pageSetup orientation="portrait" r:id="rId1"/>
  <headerFooter>
    <oddHeader>&amp;L&amp;"Calibri"&amp;9&amp;K000000Corporate&amp;1#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4"/>
  <sheetViews>
    <sheetView workbookViewId="0">
      <selection activeCell="K19" sqref="K19"/>
    </sheetView>
  </sheetViews>
  <sheetFormatPr defaultRowHeight="15" outlineLevelRow="1" x14ac:dyDescent="0.25"/>
  <cols>
    <col min="1" max="1" width="29" customWidth="1"/>
  </cols>
  <sheetData>
    <row r="1" spans="1:9" ht="44.25" customHeight="1" x14ac:dyDescent="0.25">
      <c r="A1" s="17" t="s">
        <v>18</v>
      </c>
      <c r="B1" s="17"/>
      <c r="C1" s="17"/>
      <c r="D1" s="17"/>
      <c r="E1" s="17"/>
      <c r="F1" s="18"/>
      <c r="G1" s="18"/>
      <c r="H1" s="18"/>
      <c r="I1" s="18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  <c r="E3" s="1"/>
    </row>
    <row r="5" spans="1:9" x14ac:dyDescent="0.25">
      <c r="A5" t="s">
        <v>29</v>
      </c>
    </row>
    <row r="6" spans="1:9" x14ac:dyDescent="0.25">
      <c r="A6" s="8"/>
      <c r="B6" s="19" t="s">
        <v>16</v>
      </c>
      <c r="C6" s="19"/>
      <c r="D6" s="19"/>
      <c r="E6" s="19"/>
      <c r="F6" s="19" t="s">
        <v>0</v>
      </c>
      <c r="G6" s="19"/>
      <c r="H6" s="19"/>
      <c r="I6" s="19"/>
    </row>
    <row r="7" spans="1:9" x14ac:dyDescent="0.25">
      <c r="A7" s="20" t="s">
        <v>11</v>
      </c>
      <c r="B7" s="21" t="s">
        <v>9</v>
      </c>
      <c r="C7" s="21"/>
      <c r="D7" s="21"/>
      <c r="E7" s="21"/>
      <c r="F7" s="19" t="str">
        <f>B7</f>
        <v>Уровень напряжения</v>
      </c>
      <c r="G7" s="19"/>
      <c r="H7" s="19"/>
      <c r="I7" s="19"/>
    </row>
    <row r="8" spans="1:9" x14ac:dyDescent="0.25">
      <c r="A8" s="20"/>
      <c r="B8" s="9" t="s">
        <v>12</v>
      </c>
      <c r="C8" s="9" t="s">
        <v>13</v>
      </c>
      <c r="D8" s="9" t="s">
        <v>14</v>
      </c>
      <c r="E8" s="9" t="s">
        <v>15</v>
      </c>
      <c r="F8" s="10" t="str">
        <f>B8</f>
        <v>ВН</v>
      </c>
      <c r="G8" s="11" t="str">
        <f>C8</f>
        <v>СН</v>
      </c>
      <c r="H8" s="10" t="str">
        <f>D8</f>
        <v>СН II</v>
      </c>
      <c r="I8" s="10" t="str">
        <f>E8</f>
        <v>НН</v>
      </c>
    </row>
    <row r="9" spans="1:9" x14ac:dyDescent="0.25">
      <c r="A9" s="12" t="s">
        <v>10</v>
      </c>
      <c r="B9" s="9"/>
      <c r="C9" s="9"/>
      <c r="D9" s="9"/>
      <c r="E9" s="9"/>
      <c r="F9" s="10"/>
      <c r="G9" s="11"/>
      <c r="H9" s="10"/>
      <c r="I9" s="10"/>
    </row>
    <row r="10" spans="1:9" x14ac:dyDescent="0.25">
      <c r="A10" s="4" t="s">
        <v>20</v>
      </c>
      <c r="B10" s="5">
        <f>B11+D11</f>
        <v>11.261000000000001</v>
      </c>
      <c r="C10" s="6"/>
      <c r="D10" s="6"/>
      <c r="E10" s="6" t="s">
        <v>17</v>
      </c>
      <c r="F10" s="2">
        <v>14.494</v>
      </c>
      <c r="G10" s="3"/>
      <c r="H10" s="2"/>
      <c r="I10" s="2"/>
    </row>
    <row r="11" spans="1:9" outlineLevel="1" x14ac:dyDescent="0.25">
      <c r="A11" s="4" t="s">
        <v>21</v>
      </c>
      <c r="B11" s="5">
        <v>10.182</v>
      </c>
      <c r="C11" s="6"/>
      <c r="D11" s="6">
        <v>1.079</v>
      </c>
      <c r="E11" s="6"/>
      <c r="F11" s="2">
        <f>[49]СОЯ!$B$3/1000 + 7.26</f>
        <v>13.411</v>
      </c>
      <c r="G11" s="2"/>
      <c r="H11" s="2">
        <f>([49]ЛукОйл!$B$3+[49]Терминал!$B$3)/1000</f>
        <v>1.202</v>
      </c>
      <c r="I11" s="2"/>
    </row>
    <row r="12" spans="1:9" x14ac:dyDescent="0.25">
      <c r="A12" s="13" t="s">
        <v>22</v>
      </c>
      <c r="G12" s="7"/>
    </row>
    <row r="13" spans="1:9" x14ac:dyDescent="0.25">
      <c r="A13" s="4" t="s">
        <v>20</v>
      </c>
      <c r="B13" s="5">
        <f>B14+D14</f>
        <v>9.5390000000000015</v>
      </c>
      <c r="C13" s="6"/>
      <c r="D13" s="6"/>
      <c r="E13" s="6" t="s">
        <v>17</v>
      </c>
      <c r="F13" s="15">
        <v>13.961</v>
      </c>
      <c r="G13" s="3"/>
      <c r="H13" s="2"/>
      <c r="I13" s="2"/>
    </row>
    <row r="14" spans="1:9" x14ac:dyDescent="0.25">
      <c r="A14" s="4" t="s">
        <v>21</v>
      </c>
      <c r="B14" s="5">
        <v>8.6560000000000006</v>
      </c>
      <c r="C14" s="6"/>
      <c r="D14" s="6">
        <v>0.88300000000000001</v>
      </c>
      <c r="E14" s="6"/>
      <c r="F14" s="2">
        <f>[49]СОЯ!$B$10/1000+6.28</f>
        <v>12.846</v>
      </c>
      <c r="G14" s="2"/>
      <c r="H14" s="15">
        <f>([49]ЛукОйл!$B$10+[49]Терминал!$B$10)/1000</f>
        <v>1.141</v>
      </c>
      <c r="I14" s="2"/>
    </row>
    <row r="15" spans="1:9" x14ac:dyDescent="0.25">
      <c r="A15" s="14" t="s">
        <v>23</v>
      </c>
    </row>
    <row r="16" spans="1:9" x14ac:dyDescent="0.25">
      <c r="A16" s="4" t="s">
        <v>20</v>
      </c>
      <c r="B16" s="5">
        <f>B17+D17</f>
        <v>9.7809999999999988</v>
      </c>
      <c r="C16" s="6"/>
      <c r="D16" s="6"/>
      <c r="E16" s="6" t="s">
        <v>17</v>
      </c>
      <c r="F16" s="2">
        <v>13.391999999999999</v>
      </c>
      <c r="G16" s="3"/>
      <c r="H16" s="2"/>
      <c r="I16" s="2"/>
    </row>
    <row r="17" spans="1:9" x14ac:dyDescent="0.25">
      <c r="A17" s="4" t="s">
        <v>21</v>
      </c>
      <c r="B17" s="5">
        <v>8.94</v>
      </c>
      <c r="C17" s="6"/>
      <c r="D17" s="6">
        <v>0.84099999999999997</v>
      </c>
      <c r="E17" s="6"/>
      <c r="F17" s="2">
        <f>[49]СОЯ!$B$16/1000+5.929</f>
        <v>12.353999999999999</v>
      </c>
      <c r="G17" s="2"/>
      <c r="H17" s="2">
        <f>([49]ЛукОйл!$B$16+[49]Терминал!$B$16)/1000</f>
        <v>1.0029999999999999</v>
      </c>
      <c r="I17" s="2"/>
    </row>
    <row r="18" spans="1:9" x14ac:dyDescent="0.25">
      <c r="A18" s="14" t="s">
        <v>24</v>
      </c>
    </row>
    <row r="19" spans="1:9" x14ac:dyDescent="0.25">
      <c r="A19" s="4" t="s">
        <v>20</v>
      </c>
      <c r="B19" s="5">
        <f>B20+D20</f>
        <v>10.712</v>
      </c>
      <c r="C19" s="6"/>
      <c r="D19" s="6"/>
      <c r="E19" s="6" t="s">
        <v>17</v>
      </c>
      <c r="F19" s="2">
        <f>[50]Агропродукт!$C$53</f>
        <v>14.38</v>
      </c>
      <c r="G19" s="3"/>
      <c r="H19" s="2"/>
      <c r="I19" s="2"/>
    </row>
    <row r="20" spans="1:9" x14ac:dyDescent="0.25">
      <c r="A20" s="4" t="s">
        <v>21</v>
      </c>
      <c r="B20" s="5">
        <v>5.4059999999999997</v>
      </c>
      <c r="C20" s="6"/>
      <c r="D20" s="6">
        <v>5.306</v>
      </c>
      <c r="E20" s="6"/>
      <c r="F20" s="2">
        <f>'[50]Агропродукт СН'!$C$53</f>
        <v>6.6790000000000003</v>
      </c>
      <c r="G20" s="2"/>
      <c r="H20" s="2">
        <f>([49]СОЯ!$B$22+[49]ЛукОйл!$B$22+[49]Терминал!$B$22)/1000</f>
        <v>6.8810000000000002</v>
      </c>
      <c r="I20" s="2"/>
    </row>
    <row r="21" spans="1:9" x14ac:dyDescent="0.25">
      <c r="A21" s="14" t="s">
        <v>1</v>
      </c>
    </row>
    <row r="22" spans="1:9" x14ac:dyDescent="0.25">
      <c r="A22" s="4" t="s">
        <v>20</v>
      </c>
      <c r="B22" s="5">
        <f>B23+D23</f>
        <v>11.21</v>
      </c>
      <c r="C22" s="6"/>
      <c r="D22" s="6"/>
      <c r="E22" s="6" t="s">
        <v>17</v>
      </c>
      <c r="F22" s="2">
        <f>[51]Агропродукт!$C$53</f>
        <v>15.329000000000001</v>
      </c>
      <c r="G22" s="3"/>
      <c r="H22" s="2"/>
      <c r="I22" s="2"/>
    </row>
    <row r="23" spans="1:9" x14ac:dyDescent="0.25">
      <c r="A23" s="4" t="s">
        <v>21</v>
      </c>
      <c r="B23" s="5">
        <v>5.4050000000000002</v>
      </c>
      <c r="C23" s="6"/>
      <c r="D23" s="6">
        <v>5.8049999999999997</v>
      </c>
      <c r="E23" s="6"/>
      <c r="F23" s="2">
        <f>'[51]Агропродукт СН'!$C$53</f>
        <v>6.6790000000000003</v>
      </c>
      <c r="G23" s="2"/>
      <c r="H23" s="2">
        <f>([49]СОЯ!$B$28+[49]ЛукОйл!$B$28+[49]Терминал!$B$28)/1000</f>
        <v>7.8689999999999998</v>
      </c>
      <c r="I23" s="2"/>
    </row>
    <row r="24" spans="1:9" x14ac:dyDescent="0.25">
      <c r="A24" s="14" t="s">
        <v>2</v>
      </c>
    </row>
    <row r="25" spans="1:9" x14ac:dyDescent="0.25">
      <c r="A25" s="4" t="s">
        <v>20</v>
      </c>
      <c r="B25" s="5">
        <f>B26+D26</f>
        <v>10.367000000000001</v>
      </c>
      <c r="C25" s="6"/>
      <c r="D25" s="6"/>
      <c r="E25" s="6" t="s">
        <v>17</v>
      </c>
      <c r="F25" s="2">
        <f>[52]Агропродукт!$C$53</f>
        <v>14.409000000000001</v>
      </c>
      <c r="G25" s="3"/>
      <c r="H25" s="2"/>
      <c r="I25" s="2"/>
    </row>
    <row r="26" spans="1:9" x14ac:dyDescent="0.25">
      <c r="A26" s="4" t="s">
        <v>21</v>
      </c>
      <c r="B26" s="5">
        <v>4.8289999999999997</v>
      </c>
      <c r="C26" s="6"/>
      <c r="D26" s="6">
        <v>5.5380000000000003</v>
      </c>
      <c r="E26" s="6"/>
      <c r="F26" s="2">
        <f>'[52]Агропродукт СН'!$C$53</f>
        <v>4.476</v>
      </c>
      <c r="G26" s="2"/>
      <c r="H26" s="2">
        <f>([49]СОЯ!$B$35+[49]ЛукОйл!$B$35+[49]Терминал!$B$35)/1000</f>
        <v>7.4550000000000001</v>
      </c>
      <c r="I26" s="2"/>
    </row>
    <row r="27" spans="1:9" x14ac:dyDescent="0.25">
      <c r="A27" s="14" t="s">
        <v>3</v>
      </c>
    </row>
    <row r="28" spans="1:9" x14ac:dyDescent="0.25">
      <c r="A28" s="4" t="s">
        <v>20</v>
      </c>
      <c r="B28" s="5">
        <f>B29+D29</f>
        <v>8.4540000000000006</v>
      </c>
      <c r="C28" s="6"/>
      <c r="D28" s="6"/>
      <c r="E28" s="6" t="s">
        <v>17</v>
      </c>
      <c r="F28" s="2">
        <f>[53]Агропродукт!$C$53</f>
        <v>11.366</v>
      </c>
      <c r="G28" s="3"/>
      <c r="H28" s="2"/>
      <c r="I28" s="2"/>
    </row>
    <row r="29" spans="1:9" x14ac:dyDescent="0.25">
      <c r="A29" s="4" t="s">
        <v>21</v>
      </c>
      <c r="B29" s="5">
        <v>4.9059999999999997</v>
      </c>
      <c r="C29" s="6"/>
      <c r="D29" s="6">
        <v>3.548</v>
      </c>
      <c r="E29" s="6"/>
      <c r="F29" s="2">
        <f>'[53]Агропродукт СН'!$C$53</f>
        <v>5.867</v>
      </c>
      <c r="G29" s="2"/>
      <c r="H29" s="2">
        <f>([49]СОЯ!$B$42+[49]ЛукОйл!$B$42+[49]Терминал!$B$42)/1000</f>
        <v>4.9420999999999999</v>
      </c>
      <c r="I29" s="2"/>
    </row>
    <row r="30" spans="1:9" x14ac:dyDescent="0.25">
      <c r="A30" s="14" t="s">
        <v>4</v>
      </c>
    </row>
    <row r="31" spans="1:9" x14ac:dyDescent="0.25">
      <c r="A31" s="4" t="s">
        <v>20</v>
      </c>
      <c r="B31" s="5">
        <f>B32+D32</f>
        <v>11.603999999999999</v>
      </c>
      <c r="C31" s="6"/>
      <c r="D31" s="6"/>
      <c r="E31" s="6" t="s">
        <v>17</v>
      </c>
      <c r="F31" s="2">
        <f>[54]Агропродукт!$C$53</f>
        <v>15.896000000000001</v>
      </c>
      <c r="G31" s="3"/>
      <c r="H31" s="2"/>
      <c r="I31" s="2"/>
    </row>
    <row r="32" spans="1:9" x14ac:dyDescent="0.25">
      <c r="A32" s="4" t="s">
        <v>21</v>
      </c>
      <c r="B32" s="5">
        <v>5.9130000000000003</v>
      </c>
      <c r="C32" s="6"/>
      <c r="D32" s="6">
        <v>5.6909999999999998</v>
      </c>
      <c r="E32" s="6"/>
      <c r="F32" s="2">
        <f>'[54]Агропродукт СН'!$C$53</f>
        <v>5.3029999999999999</v>
      </c>
      <c r="G32" s="2"/>
      <c r="H32" s="2">
        <f>([49]СОЯ!$B$49+[49]ЛукОйл!$B$49+[49]Терминал!$B$49)/1000</f>
        <v>7.6660000000000004</v>
      </c>
      <c r="I32" s="2"/>
    </row>
    <row r="33" spans="1:9" x14ac:dyDescent="0.25">
      <c r="A33" s="14" t="s">
        <v>5</v>
      </c>
    </row>
    <row r="34" spans="1:9" x14ac:dyDescent="0.25">
      <c r="A34" s="4" t="s">
        <v>20</v>
      </c>
      <c r="B34" s="5">
        <f>B35+D35</f>
        <v>11.965</v>
      </c>
      <c r="C34" s="6"/>
      <c r="D34" s="6"/>
      <c r="E34" s="6" t="s">
        <v>17</v>
      </c>
      <c r="F34" s="2">
        <f>[55]Агропродукт!$C$53</f>
        <v>16.742000000000001</v>
      </c>
      <c r="G34" s="3"/>
      <c r="H34" s="2"/>
      <c r="I34" s="2"/>
    </row>
    <row r="35" spans="1:9" x14ac:dyDescent="0.25">
      <c r="A35" s="4" t="s">
        <v>21</v>
      </c>
      <c r="B35" s="5">
        <v>6.069</v>
      </c>
      <c r="C35" s="6"/>
      <c r="D35" s="6">
        <v>5.8959999999999999</v>
      </c>
      <c r="E35" s="6"/>
      <c r="F35" s="2">
        <f>'[55]Агропродукт СН'!$C$53</f>
        <v>6.0919999999999996</v>
      </c>
      <c r="G35" s="2"/>
      <c r="H35" s="2">
        <f>([49]СОЯ!$B$56+[49]ЛукОйл!$B$56+[49]Терминал!$B$56)/1000</f>
        <v>8.0909999999999993</v>
      </c>
      <c r="I35" s="2"/>
    </row>
    <row r="36" spans="1:9" x14ac:dyDescent="0.25">
      <c r="A36" s="14" t="s">
        <v>6</v>
      </c>
    </row>
    <row r="37" spans="1:9" x14ac:dyDescent="0.25">
      <c r="A37" s="4" t="s">
        <v>20</v>
      </c>
      <c r="B37" s="5">
        <f>B38+D38</f>
        <v>10.202</v>
      </c>
      <c r="C37" s="6"/>
      <c r="D37" s="6"/>
      <c r="E37" s="6" t="s">
        <v>17</v>
      </c>
      <c r="F37" s="2">
        <f>[56]Агропродукт!$C$53</f>
        <v>13.919</v>
      </c>
      <c r="G37" s="3"/>
      <c r="H37" s="2"/>
      <c r="I37" s="2"/>
    </row>
    <row r="38" spans="1:9" x14ac:dyDescent="0.25">
      <c r="A38" s="4" t="s">
        <v>21</v>
      </c>
      <c r="B38" s="5">
        <v>4.72</v>
      </c>
      <c r="C38" s="6"/>
      <c r="D38" s="6">
        <v>5.4820000000000002</v>
      </c>
      <c r="E38" s="6"/>
      <c r="F38" s="2">
        <f>'[56]Агропродукт СН'!$C$52</f>
        <v>6.3565604960000002</v>
      </c>
      <c r="G38" s="2"/>
      <c r="H38" s="2">
        <f>([49]СОЯ!$B$63+[49]ЛукОйл!$B$63+[49]Терминал!$B$63)/1000</f>
        <v>7.5663999999999998</v>
      </c>
      <c r="I38" s="2"/>
    </row>
    <row r="39" spans="1:9" x14ac:dyDescent="0.25">
      <c r="A39" s="14" t="s">
        <v>7</v>
      </c>
    </row>
    <row r="40" spans="1:9" x14ac:dyDescent="0.25">
      <c r="A40" s="4" t="s">
        <v>20</v>
      </c>
      <c r="B40" s="5">
        <f>B41+D41</f>
        <v>11.625999999999999</v>
      </c>
      <c r="C40" s="6"/>
      <c r="D40" s="6"/>
      <c r="E40" s="6" t="s">
        <v>17</v>
      </c>
      <c r="F40" s="2">
        <f>[57]Агропродукт!$C$53</f>
        <v>16.872</v>
      </c>
      <c r="G40" s="3"/>
      <c r="H40" s="2"/>
      <c r="I40" s="2"/>
    </row>
    <row r="41" spans="1:9" x14ac:dyDescent="0.25">
      <c r="A41" s="4" t="s">
        <v>21</v>
      </c>
      <c r="B41" s="5">
        <v>5.6769999999999996</v>
      </c>
      <c r="C41" s="6"/>
      <c r="D41" s="6">
        <v>5.9489999999999998</v>
      </c>
      <c r="E41" s="6"/>
      <c r="F41" s="2">
        <f>'[57]Агропродукт СН'!$AF$36/1000</f>
        <v>7.8840000000000003</v>
      </c>
      <c r="G41" s="2"/>
      <c r="H41" s="2">
        <f>([49]СОЯ!$B$70+[49]ЛукОйл!$B$70+[49]Терминал!$B$70)/1000</f>
        <v>8.3719999999999999</v>
      </c>
      <c r="I41" s="2"/>
    </row>
    <row r="42" spans="1:9" x14ac:dyDescent="0.25">
      <c r="A42" s="14" t="s">
        <v>8</v>
      </c>
    </row>
    <row r="43" spans="1:9" x14ac:dyDescent="0.25">
      <c r="A43" s="4" t="s">
        <v>20</v>
      </c>
      <c r="B43" s="5">
        <f>B44+D44</f>
        <v>11.817</v>
      </c>
      <c r="C43" s="6"/>
      <c r="D43" s="6"/>
      <c r="E43" s="6" t="s">
        <v>17</v>
      </c>
      <c r="F43" s="2">
        <f>[58]Агропродукт!$C$53</f>
        <v>16.545999999999999</v>
      </c>
      <c r="G43" s="3"/>
      <c r="H43" s="2"/>
      <c r="I43" s="2"/>
    </row>
    <row r="44" spans="1:9" x14ac:dyDescent="0.25">
      <c r="A44" s="4" t="s">
        <v>21</v>
      </c>
      <c r="B44" s="5">
        <v>5.1710000000000003</v>
      </c>
      <c r="C44" s="6"/>
      <c r="D44" s="6">
        <v>6.6459999999999999</v>
      </c>
      <c r="E44" s="6"/>
      <c r="F44" s="2">
        <f>'[58]Агропродукт СН'!$C$52</f>
        <v>6.952</v>
      </c>
      <c r="G44" s="2"/>
      <c r="H44" s="2">
        <f>([49]СОЯ!$B$77+[49]ЛукОйл!$B$77+[49]Терминал!$B$77)/1000</f>
        <v>9.7003599999999999</v>
      </c>
      <c r="I44" s="2"/>
    </row>
  </sheetData>
  <mergeCells count="6">
    <mergeCell ref="A1:I1"/>
    <mergeCell ref="B6:E6"/>
    <mergeCell ref="F6:I6"/>
    <mergeCell ref="A7:A8"/>
    <mergeCell ref="B7:E7"/>
    <mergeCell ref="F7:I7"/>
  </mergeCells>
  <pageMargins left="0.7" right="0.7" top="0.75" bottom="0.75" header="0.3" footer="0.3"/>
  <pageSetup orientation="portrait" r:id="rId1"/>
  <headerFooter>
    <oddHeader>&amp;L&amp;"Calibri"&amp;9&amp;K000000Corporate&amp;1#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B694C-4D30-4E49-8C59-80124F0C6F83}">
  <dimension ref="A1:I44"/>
  <sheetViews>
    <sheetView topLeftCell="A23" workbookViewId="0">
      <selection activeCell="B44" sqref="B44"/>
    </sheetView>
  </sheetViews>
  <sheetFormatPr defaultRowHeight="15" outlineLevelRow="1" x14ac:dyDescent="0.25"/>
  <cols>
    <col min="1" max="1" width="29" customWidth="1"/>
    <col min="2" max="2" width="9.42578125" bestFit="1" customWidth="1"/>
    <col min="4" max="4" width="10.42578125" bestFit="1" customWidth="1"/>
  </cols>
  <sheetData>
    <row r="1" spans="1:9" ht="44.25" customHeight="1" x14ac:dyDescent="0.25">
      <c r="A1" s="17" t="s">
        <v>18</v>
      </c>
      <c r="B1" s="17"/>
      <c r="C1" s="17"/>
      <c r="D1" s="17"/>
      <c r="E1" s="17"/>
      <c r="F1" s="18"/>
      <c r="G1" s="18"/>
      <c r="H1" s="18"/>
      <c r="I1" s="18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  <c r="E3" s="1"/>
    </row>
    <row r="5" spans="1:9" x14ac:dyDescent="0.25">
      <c r="A5" t="s">
        <v>33</v>
      </c>
    </row>
    <row r="6" spans="1:9" x14ac:dyDescent="0.25">
      <c r="A6" s="8"/>
      <c r="B6" s="19" t="s">
        <v>16</v>
      </c>
      <c r="C6" s="19"/>
      <c r="D6" s="19"/>
      <c r="E6" s="19"/>
      <c r="F6" s="19" t="s">
        <v>0</v>
      </c>
      <c r="G6" s="19"/>
      <c r="H6" s="19"/>
      <c r="I6" s="19"/>
    </row>
    <row r="7" spans="1:9" x14ac:dyDescent="0.25">
      <c r="A7" s="20" t="s">
        <v>11</v>
      </c>
      <c r="B7" s="21" t="s">
        <v>9</v>
      </c>
      <c r="C7" s="21"/>
      <c r="D7" s="21"/>
      <c r="E7" s="21"/>
      <c r="F7" s="19" t="s">
        <v>9</v>
      </c>
      <c r="G7" s="19"/>
      <c r="H7" s="19"/>
      <c r="I7" s="19"/>
    </row>
    <row r="8" spans="1:9" x14ac:dyDescent="0.25">
      <c r="A8" s="20"/>
      <c r="B8" s="9" t="s">
        <v>12</v>
      </c>
      <c r="C8" s="9" t="s">
        <v>13</v>
      </c>
      <c r="D8" s="9" t="s">
        <v>14</v>
      </c>
      <c r="E8" s="9" t="s">
        <v>15</v>
      </c>
      <c r="F8" s="10" t="s">
        <v>12</v>
      </c>
      <c r="G8" s="11" t="s">
        <v>13</v>
      </c>
      <c r="H8" s="10" t="s">
        <v>14</v>
      </c>
      <c r="I8" s="10" t="s">
        <v>15</v>
      </c>
    </row>
    <row r="9" spans="1:9" x14ac:dyDescent="0.25">
      <c r="A9" s="12" t="s">
        <v>10</v>
      </c>
      <c r="B9" s="9"/>
      <c r="C9" s="9"/>
      <c r="D9" s="9"/>
      <c r="E9" s="9"/>
      <c r="F9" s="10"/>
      <c r="G9" s="11"/>
      <c r="H9" s="10"/>
      <c r="I9" s="10"/>
    </row>
    <row r="10" spans="1:9" x14ac:dyDescent="0.25">
      <c r="A10" s="4" t="s">
        <v>34</v>
      </c>
      <c r="B10" s="5">
        <v>13.739503069399944</v>
      </c>
      <c r="C10" s="6"/>
      <c r="D10" s="6"/>
      <c r="E10" s="6"/>
      <c r="F10" s="2">
        <v>18.750000658602151</v>
      </c>
      <c r="G10" s="3"/>
      <c r="H10" s="2"/>
      <c r="I10" s="2"/>
    </row>
    <row r="11" spans="1:9" outlineLevel="1" x14ac:dyDescent="0.25">
      <c r="A11" s="4" t="s">
        <v>21</v>
      </c>
      <c r="B11" s="5">
        <v>6.5839748230000126</v>
      </c>
      <c r="C11" s="6"/>
      <c r="D11" s="5">
        <v>7.1555282463999319</v>
      </c>
      <c r="E11" s="6"/>
      <c r="F11" s="16">
        <v>8.9570000000000007</v>
      </c>
      <c r="G11" s="2"/>
      <c r="H11" s="16">
        <v>9.7930006586021499</v>
      </c>
      <c r="I11" s="2"/>
    </row>
    <row r="12" spans="1:9" x14ac:dyDescent="0.25">
      <c r="A12" s="13" t="s">
        <v>22</v>
      </c>
      <c r="G12" s="7"/>
    </row>
    <row r="13" spans="1:9" x14ac:dyDescent="0.25">
      <c r="A13" s="4" t="s">
        <v>34</v>
      </c>
      <c r="B13" s="5">
        <v>12.159995294999955</v>
      </c>
      <c r="C13" s="6"/>
      <c r="D13" s="6"/>
      <c r="E13" s="6"/>
      <c r="F13" s="2">
        <v>17.720999999999997</v>
      </c>
      <c r="G13" s="3"/>
      <c r="H13" s="2"/>
      <c r="I13" s="2"/>
    </row>
    <row r="14" spans="1:9" x14ac:dyDescent="0.25">
      <c r="A14" s="4" t="s">
        <v>21</v>
      </c>
      <c r="B14" s="5">
        <v>6.0333734099999967</v>
      </c>
      <c r="C14" s="6"/>
      <c r="D14" s="5">
        <v>6.1266218849999587</v>
      </c>
      <c r="E14" s="6"/>
      <c r="F14" s="2">
        <v>8.370000000000001</v>
      </c>
      <c r="G14" s="2"/>
      <c r="H14" s="16">
        <v>9.3509999999999955</v>
      </c>
      <c r="I14" s="2"/>
    </row>
    <row r="15" spans="1:9" x14ac:dyDescent="0.25">
      <c r="A15" s="14" t="s">
        <v>23</v>
      </c>
    </row>
    <row r="16" spans="1:9" x14ac:dyDescent="0.25">
      <c r="A16" s="4" t="s">
        <v>34</v>
      </c>
      <c r="B16" s="5">
        <v>12.442103861199959</v>
      </c>
      <c r="C16" s="6"/>
      <c r="D16" s="6"/>
      <c r="E16" s="6"/>
      <c r="F16" s="2">
        <v>16.239000000000001</v>
      </c>
      <c r="G16" s="3"/>
      <c r="H16" s="2"/>
      <c r="I16" s="2"/>
    </row>
    <row r="17" spans="1:9" x14ac:dyDescent="0.25">
      <c r="A17" s="4" t="s">
        <v>21</v>
      </c>
      <c r="B17" s="5">
        <v>6.1831574819999657</v>
      </c>
      <c r="C17" s="6"/>
      <c r="D17" s="5">
        <v>6.2589463791999931</v>
      </c>
      <c r="E17" s="6"/>
      <c r="F17" s="2">
        <v>7.8940000000000001</v>
      </c>
      <c r="G17" s="2"/>
      <c r="H17" s="16">
        <v>8.3450000000000006</v>
      </c>
      <c r="I17" s="2"/>
    </row>
    <row r="18" spans="1:9" x14ac:dyDescent="0.25">
      <c r="A18" s="14" t="s">
        <v>24</v>
      </c>
    </row>
    <row r="19" spans="1:9" x14ac:dyDescent="0.25">
      <c r="A19" s="4" t="s">
        <v>34</v>
      </c>
      <c r="B19" s="5">
        <v>12.01269838860002</v>
      </c>
      <c r="C19" s="6"/>
      <c r="D19" s="6"/>
      <c r="E19" s="6"/>
      <c r="F19" s="2">
        <v>16.137001611111106</v>
      </c>
      <c r="G19" s="3"/>
      <c r="H19" s="2"/>
      <c r="I19" s="2"/>
    </row>
    <row r="20" spans="1:9" x14ac:dyDescent="0.25">
      <c r="A20" s="4" t="s">
        <v>21</v>
      </c>
      <c r="B20" s="5">
        <v>5.7655033150000454</v>
      </c>
      <c r="C20" s="6"/>
      <c r="D20" s="5">
        <v>6.2471950735999746</v>
      </c>
      <c r="E20" s="6"/>
      <c r="F20" s="2">
        <v>7.5679999999999996</v>
      </c>
      <c r="G20" s="2"/>
      <c r="H20" s="16">
        <v>8.5690016111111067</v>
      </c>
      <c r="I20" s="2"/>
    </row>
    <row r="21" spans="1:9" x14ac:dyDescent="0.25">
      <c r="A21" s="14" t="s">
        <v>1</v>
      </c>
    </row>
    <row r="22" spans="1:9" x14ac:dyDescent="0.25">
      <c r="A22" s="4" t="s">
        <v>34</v>
      </c>
      <c r="B22" s="5">
        <v>11.953371918972895</v>
      </c>
      <c r="C22" s="6"/>
      <c r="D22" s="6"/>
      <c r="E22" s="6"/>
      <c r="F22" s="2">
        <v>15.916001377096773</v>
      </c>
      <c r="G22" s="3"/>
      <c r="H22" s="2"/>
      <c r="I22" s="2"/>
    </row>
    <row r="23" spans="1:9" x14ac:dyDescent="0.25">
      <c r="A23" s="4" t="s">
        <v>21</v>
      </c>
      <c r="B23" s="5">
        <v>5.6175095999999733</v>
      </c>
      <c r="C23" s="6"/>
      <c r="D23" s="5">
        <v>6.3358623189729215</v>
      </c>
      <c r="E23" s="6"/>
      <c r="F23" s="16">
        <v>7.3709999999999996</v>
      </c>
      <c r="G23" s="2"/>
      <c r="H23" s="16">
        <v>8.5450013770967743</v>
      </c>
      <c r="I23" s="2"/>
    </row>
    <row r="24" spans="1:9" x14ac:dyDescent="0.25">
      <c r="A24" s="14" t="s">
        <v>2</v>
      </c>
    </row>
    <row r="25" spans="1:9" x14ac:dyDescent="0.25">
      <c r="A25" s="4" t="s">
        <v>34</v>
      </c>
      <c r="B25" s="5">
        <v>12.611777061199987</v>
      </c>
      <c r="C25" s="6"/>
      <c r="D25" s="6"/>
      <c r="E25" s="6"/>
      <c r="F25" s="16">
        <v>17.44100084722222</v>
      </c>
      <c r="G25" s="3"/>
      <c r="H25" s="2"/>
      <c r="I25" s="2"/>
    </row>
    <row r="26" spans="1:9" x14ac:dyDescent="0.25">
      <c r="A26" s="4" t="s">
        <v>21</v>
      </c>
      <c r="B26" s="5">
        <v>5.8677767649999835</v>
      </c>
      <c r="C26" s="6"/>
      <c r="D26" s="5">
        <v>6.7440002962000039</v>
      </c>
      <c r="E26" s="6"/>
      <c r="F26" s="2">
        <v>8.1449999999999996</v>
      </c>
      <c r="G26" s="2"/>
      <c r="H26" s="16">
        <v>9.2960008472222206</v>
      </c>
      <c r="I26" s="2"/>
    </row>
    <row r="27" spans="1:9" x14ac:dyDescent="0.25">
      <c r="A27" s="14" t="s">
        <v>3</v>
      </c>
    </row>
    <row r="28" spans="1:9" x14ac:dyDescent="0.25">
      <c r="A28" s="4" t="s">
        <v>34</v>
      </c>
      <c r="B28" s="5">
        <v>13.852211744199961</v>
      </c>
      <c r="C28" s="6"/>
      <c r="D28" s="6"/>
      <c r="E28" s="6"/>
      <c r="F28" s="2">
        <v>18.281000000000002</v>
      </c>
      <c r="G28" s="3"/>
      <c r="H28" s="2"/>
      <c r="I28" s="2"/>
    </row>
    <row r="29" spans="1:9" x14ac:dyDescent="0.25">
      <c r="A29" s="4" t="s">
        <v>21</v>
      </c>
      <c r="B29" s="5">
        <v>6.9170947179999596</v>
      </c>
      <c r="C29" s="6"/>
      <c r="D29" s="5">
        <v>6.9351170262000013</v>
      </c>
      <c r="E29" s="6"/>
      <c r="F29" s="2">
        <v>8.9540000000000006</v>
      </c>
      <c r="G29" s="2"/>
      <c r="H29" s="16">
        <v>9.3270000000000017</v>
      </c>
      <c r="I29" s="2"/>
    </row>
    <row r="30" spans="1:9" x14ac:dyDescent="0.25">
      <c r="A30" s="14" t="s">
        <v>4</v>
      </c>
    </row>
    <row r="31" spans="1:9" x14ac:dyDescent="0.25">
      <c r="A31" s="4" t="s">
        <v>34</v>
      </c>
      <c r="B31" s="5">
        <v>13.783344736599961</v>
      </c>
      <c r="C31" s="6"/>
      <c r="D31" s="6"/>
      <c r="E31" s="6"/>
      <c r="F31" s="2">
        <v>18.296004032258061</v>
      </c>
      <c r="G31" s="3"/>
      <c r="H31" s="2"/>
      <c r="I31" s="2"/>
    </row>
    <row r="32" spans="1:9" x14ac:dyDescent="0.25">
      <c r="A32" s="4" t="s">
        <v>21</v>
      </c>
      <c r="B32" s="5">
        <v>6.8793345829999879</v>
      </c>
      <c r="C32" s="6"/>
      <c r="D32" s="5">
        <v>6.9040101535999732</v>
      </c>
      <c r="E32" s="6"/>
      <c r="F32" s="2">
        <v>9.0560000000000009</v>
      </c>
      <c r="G32" s="2"/>
      <c r="H32" s="16">
        <v>9.2400040322580601</v>
      </c>
      <c r="I32" s="2"/>
    </row>
    <row r="33" spans="1:9" x14ac:dyDescent="0.25">
      <c r="A33" s="14" t="s">
        <v>5</v>
      </c>
    </row>
    <row r="34" spans="1:9" x14ac:dyDescent="0.25">
      <c r="A34" s="4" t="s">
        <v>34</v>
      </c>
      <c r="B34" s="5">
        <v>11.793061201799972</v>
      </c>
      <c r="C34" s="6"/>
      <c r="D34" s="6"/>
      <c r="E34" s="6"/>
      <c r="F34" s="15">
        <v>15.885005666666663</v>
      </c>
      <c r="G34" s="3"/>
      <c r="H34" s="2"/>
      <c r="I34" s="2"/>
    </row>
    <row r="35" spans="1:9" x14ac:dyDescent="0.25">
      <c r="A35" s="4" t="s">
        <v>21</v>
      </c>
      <c r="B35" s="5">
        <v>5.2570361319999934</v>
      </c>
      <c r="C35" s="6"/>
      <c r="D35" s="5">
        <v>6.5360250697999787</v>
      </c>
      <c r="E35" s="6"/>
      <c r="F35" s="15">
        <v>7.0170000000000003</v>
      </c>
      <c r="G35" s="2"/>
      <c r="H35" s="16">
        <v>8.8680056666666616</v>
      </c>
      <c r="I35" s="2"/>
    </row>
    <row r="36" spans="1:9" x14ac:dyDescent="0.25">
      <c r="A36" s="14" t="s">
        <v>6</v>
      </c>
    </row>
    <row r="37" spans="1:9" x14ac:dyDescent="0.25">
      <c r="A37" s="4" t="s">
        <v>34</v>
      </c>
      <c r="B37" s="5">
        <v>13.103749625199994</v>
      </c>
      <c r="C37" s="6"/>
      <c r="D37" s="6"/>
      <c r="E37" s="6"/>
      <c r="F37" s="2">
        <v>17.461001397849458</v>
      </c>
      <c r="G37" s="3"/>
      <c r="H37" s="2"/>
      <c r="I37" s="2"/>
    </row>
    <row r="38" spans="1:9" x14ac:dyDescent="0.25">
      <c r="A38" s="4" t="s">
        <v>21</v>
      </c>
      <c r="B38" s="5">
        <v>6.317680364999986</v>
      </c>
      <c r="C38" s="6"/>
      <c r="D38" s="5">
        <v>6.7860692602000077</v>
      </c>
      <c r="E38" s="6"/>
      <c r="F38" s="2">
        <v>8.3539999999999992</v>
      </c>
      <c r="G38" s="2"/>
      <c r="H38" s="16">
        <v>9.1070013978494586</v>
      </c>
      <c r="I38" s="2"/>
    </row>
    <row r="39" spans="1:9" x14ac:dyDescent="0.25">
      <c r="A39" s="14" t="s">
        <v>7</v>
      </c>
    </row>
    <row r="40" spans="1:9" x14ac:dyDescent="0.25">
      <c r="A40" s="4" t="s">
        <v>34</v>
      </c>
      <c r="B40" s="5">
        <v>13.193582292399912</v>
      </c>
      <c r="C40" s="6"/>
      <c r="D40" s="6"/>
      <c r="E40" s="6"/>
      <c r="F40" s="2">
        <v>18.916003083333333</v>
      </c>
      <c r="G40" s="3"/>
      <c r="H40" s="2"/>
      <c r="I40" s="2"/>
    </row>
    <row r="41" spans="1:9" x14ac:dyDescent="0.25">
      <c r="A41" s="4" t="s">
        <v>21</v>
      </c>
      <c r="B41" s="5">
        <v>6.960382799999981</v>
      </c>
      <c r="C41" s="6"/>
      <c r="D41" s="5">
        <v>6.2331994923999305</v>
      </c>
      <c r="E41" s="6"/>
      <c r="F41" s="2">
        <v>9.9239999999999995</v>
      </c>
      <c r="G41" s="2"/>
      <c r="H41" s="16">
        <v>8.9920030833333335</v>
      </c>
      <c r="I41" s="2"/>
    </row>
    <row r="42" spans="1:9" x14ac:dyDescent="0.25">
      <c r="A42" s="14" t="s">
        <v>8</v>
      </c>
    </row>
    <row r="43" spans="1:9" x14ac:dyDescent="0.25">
      <c r="A43" s="4" t="s">
        <v>34</v>
      </c>
      <c r="B43" s="5">
        <v>14.608671564399902</v>
      </c>
      <c r="C43" s="6"/>
      <c r="D43" s="6"/>
      <c r="E43" s="6"/>
      <c r="F43" s="2">
        <v>19.560002526881721</v>
      </c>
      <c r="G43" s="3"/>
      <c r="H43" s="2"/>
      <c r="I43" s="2"/>
    </row>
    <row r="44" spans="1:9" x14ac:dyDescent="0.25">
      <c r="A44" s="4" t="s">
        <v>21</v>
      </c>
      <c r="B44" s="5">
        <v>7.1559457999999827</v>
      </c>
      <c r="C44" s="6"/>
      <c r="D44" s="5">
        <v>7.4527257643999194</v>
      </c>
      <c r="E44" s="6"/>
      <c r="F44" s="2">
        <v>9.5609999999999999</v>
      </c>
      <c r="G44" s="2"/>
      <c r="H44" s="16">
        <v>9.9990025268817213</v>
      </c>
      <c r="I44" s="2"/>
    </row>
  </sheetData>
  <mergeCells count="6">
    <mergeCell ref="A1:I1"/>
    <mergeCell ref="B6:E6"/>
    <mergeCell ref="F6:I6"/>
    <mergeCell ref="A7:A8"/>
    <mergeCell ref="B7:E7"/>
    <mergeCell ref="F7:I7"/>
  </mergeCells>
  <pageMargins left="0.7" right="0.7" top="0.75" bottom="0.75" header="0.3" footer="0.3"/>
  <pageSetup paperSize="9" orientation="portrait" r:id="rId1"/>
  <headerFooter>
    <oddHeader>&amp;L&amp;"Calibri"&amp;9&amp;K000000Corporate&amp;1#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6D2C-7DE5-4863-BE5A-00BCCA6E49D7}">
  <dimension ref="A1:I44"/>
  <sheetViews>
    <sheetView topLeftCell="A23" workbookViewId="0">
      <selection activeCell="H45" sqref="H45"/>
    </sheetView>
  </sheetViews>
  <sheetFormatPr defaultRowHeight="15" outlineLevelRow="1" x14ac:dyDescent="0.25"/>
  <cols>
    <col min="1" max="1" width="29" customWidth="1"/>
    <col min="2" max="2" width="9.42578125" bestFit="1" customWidth="1"/>
    <col min="4" max="4" width="10.42578125" bestFit="1" customWidth="1"/>
  </cols>
  <sheetData>
    <row r="1" spans="1:9" ht="44.25" customHeight="1" x14ac:dyDescent="0.25">
      <c r="A1" s="17" t="s">
        <v>18</v>
      </c>
      <c r="B1" s="17"/>
      <c r="C1" s="17"/>
      <c r="D1" s="17"/>
      <c r="E1" s="17"/>
      <c r="F1" s="18"/>
      <c r="G1" s="18"/>
      <c r="H1" s="18"/>
      <c r="I1" s="18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  <c r="E3" s="1"/>
    </row>
    <row r="5" spans="1:9" x14ac:dyDescent="0.25">
      <c r="A5" t="s">
        <v>32</v>
      </c>
    </row>
    <row r="6" spans="1:9" x14ac:dyDescent="0.25">
      <c r="A6" s="8"/>
      <c r="B6" s="19" t="s">
        <v>16</v>
      </c>
      <c r="C6" s="19"/>
      <c r="D6" s="19"/>
      <c r="E6" s="19"/>
      <c r="F6" s="19" t="s">
        <v>0</v>
      </c>
      <c r="G6" s="19"/>
      <c r="H6" s="19"/>
      <c r="I6" s="19"/>
    </row>
    <row r="7" spans="1:9" x14ac:dyDescent="0.25">
      <c r="A7" s="20" t="s">
        <v>11</v>
      </c>
      <c r="B7" s="21" t="s">
        <v>9</v>
      </c>
      <c r="C7" s="21"/>
      <c r="D7" s="21"/>
      <c r="E7" s="21"/>
      <c r="F7" s="19" t="str">
        <f>B7</f>
        <v>Уровень напряжения</v>
      </c>
      <c r="G7" s="19"/>
      <c r="H7" s="19"/>
      <c r="I7" s="19"/>
    </row>
    <row r="8" spans="1:9" x14ac:dyDescent="0.25">
      <c r="A8" s="20"/>
      <c r="B8" s="9" t="s">
        <v>12</v>
      </c>
      <c r="C8" s="9" t="s">
        <v>13</v>
      </c>
      <c r="D8" s="9" t="s">
        <v>14</v>
      </c>
      <c r="E8" s="9" t="s">
        <v>15</v>
      </c>
      <c r="F8" s="10" t="str">
        <f>B8</f>
        <v>ВН</v>
      </c>
      <c r="G8" s="11" t="str">
        <f>C8</f>
        <v>СН</v>
      </c>
      <c r="H8" s="10" t="str">
        <f>D8</f>
        <v>СН II</v>
      </c>
      <c r="I8" s="10" t="str">
        <f>E8</f>
        <v>НН</v>
      </c>
    </row>
    <row r="9" spans="1:9" x14ac:dyDescent="0.25">
      <c r="A9" s="12" t="s">
        <v>10</v>
      </c>
      <c r="B9" s="9"/>
      <c r="C9" s="9"/>
      <c r="D9" s="9"/>
      <c r="E9" s="9"/>
      <c r="F9" s="10"/>
      <c r="G9" s="11"/>
      <c r="H9" s="10"/>
      <c r="I9" s="10"/>
    </row>
    <row r="10" spans="1:9" x14ac:dyDescent="0.25">
      <c r="A10" s="4" t="s">
        <v>20</v>
      </c>
      <c r="B10" s="5">
        <f>[1]СВОД!$F$3/1000</f>
        <v>15.194119000000001</v>
      </c>
      <c r="C10" s="6"/>
      <c r="D10" s="6"/>
      <c r="E10" s="6"/>
      <c r="F10" s="2">
        <f>[1]СВОД!$J$36</f>
        <v>20.765000000000001</v>
      </c>
      <c r="G10" s="3"/>
      <c r="H10" s="2"/>
      <c r="I10" s="2"/>
    </row>
    <row r="11" spans="1:9" outlineLevel="1" x14ac:dyDescent="0.25">
      <c r="A11" s="4" t="s">
        <v>21</v>
      </c>
      <c r="B11" s="5">
        <v>7.7990000000000004</v>
      </c>
      <c r="C11" s="6"/>
      <c r="D11" s="5">
        <f>B10-B11</f>
        <v>7.3951190000000002</v>
      </c>
      <c r="E11" s="6"/>
      <c r="F11" s="16">
        <f>[1]СВОД!$K$36</f>
        <v>10.591000000000001</v>
      </c>
      <c r="G11" s="2"/>
      <c r="H11" s="16">
        <f>F10-F11</f>
        <v>10.173999999999999</v>
      </c>
      <c r="I11" s="2"/>
    </row>
    <row r="12" spans="1:9" x14ac:dyDescent="0.25">
      <c r="A12" s="13" t="s">
        <v>22</v>
      </c>
      <c r="G12" s="7"/>
    </row>
    <row r="13" spans="1:9" x14ac:dyDescent="0.25">
      <c r="A13" s="4" t="s">
        <v>20</v>
      </c>
      <c r="B13" s="5">
        <f>[2]СВОД!$F$3/1000</f>
        <v>13.515013999999999</v>
      </c>
      <c r="C13" s="6"/>
      <c r="D13" s="6"/>
      <c r="E13" s="6"/>
      <c r="F13" s="2">
        <f>[2]СВОД!$J$35</f>
        <v>20.157</v>
      </c>
      <c r="G13" s="3"/>
      <c r="H13" s="2"/>
      <c r="I13" s="2"/>
    </row>
    <row r="14" spans="1:9" x14ac:dyDescent="0.25">
      <c r="A14" s="4" t="s">
        <v>21</v>
      </c>
      <c r="B14" s="5">
        <v>6.8869999999999996</v>
      </c>
      <c r="C14" s="6"/>
      <c r="D14" s="5">
        <f>B13-B14</f>
        <v>6.6280139999999994</v>
      </c>
      <c r="E14" s="6"/>
      <c r="F14" s="2">
        <f>[2]СВОД!$J$36</f>
        <v>10.304</v>
      </c>
      <c r="G14" s="2"/>
      <c r="H14" s="2">
        <f>F13-F14</f>
        <v>9.8529999999999998</v>
      </c>
      <c r="I14" s="2"/>
    </row>
    <row r="15" spans="1:9" x14ac:dyDescent="0.25">
      <c r="A15" s="14" t="s">
        <v>23</v>
      </c>
    </row>
    <row r="16" spans="1:9" x14ac:dyDescent="0.25">
      <c r="A16" s="4" t="s">
        <v>20</v>
      </c>
      <c r="B16" s="5">
        <f>[3]СВОД!$F$3/1000</f>
        <v>14.822398999999999</v>
      </c>
      <c r="C16" s="6"/>
      <c r="D16" s="6"/>
      <c r="E16" s="6"/>
      <c r="F16" s="2">
        <f>[3]СВОД!$J$35</f>
        <v>19.521000000000001</v>
      </c>
      <c r="G16" s="3"/>
      <c r="H16" s="2"/>
      <c r="I16" s="2"/>
    </row>
    <row r="17" spans="1:9" x14ac:dyDescent="0.25">
      <c r="A17" s="4" t="s">
        <v>21</v>
      </c>
      <c r="B17" s="5">
        <f>[3]СВОД!$K$35/1000</f>
        <v>8.0937883999999976</v>
      </c>
      <c r="C17" s="6"/>
      <c r="D17" s="5">
        <f>B16-B17</f>
        <v>6.7286106000000014</v>
      </c>
      <c r="E17" s="6"/>
      <c r="F17" s="2">
        <f>[3]СВОД!$J$36</f>
        <v>10.856</v>
      </c>
      <c r="G17" s="2"/>
      <c r="H17" s="2">
        <f>F16-F17</f>
        <v>8.6650000000000009</v>
      </c>
      <c r="I17" s="2"/>
    </row>
    <row r="18" spans="1:9" x14ac:dyDescent="0.25">
      <c r="A18" s="14" t="s">
        <v>24</v>
      </c>
    </row>
    <row r="19" spans="1:9" x14ac:dyDescent="0.25">
      <c r="A19" s="4" t="s">
        <v>20</v>
      </c>
      <c r="B19" s="5">
        <f>[4]СВОД!$F$3/1000</f>
        <v>12.206145000000001</v>
      </c>
      <c r="C19" s="6"/>
      <c r="D19" s="6"/>
      <c r="E19" s="6"/>
      <c r="F19" s="2">
        <f>[4]СВОД!$J$35</f>
        <v>16.561999999999998</v>
      </c>
      <c r="G19" s="3"/>
      <c r="H19" s="2"/>
      <c r="I19" s="2"/>
    </row>
    <row r="20" spans="1:9" x14ac:dyDescent="0.25">
      <c r="A20" s="4" t="s">
        <v>21</v>
      </c>
      <c r="B20" s="5">
        <f>[4]СВОД!$K$35/1000</f>
        <v>6.7322971999999872</v>
      </c>
      <c r="C20" s="6"/>
      <c r="D20" s="5">
        <f>B19-B20</f>
        <v>5.4738478000000139</v>
      </c>
      <c r="E20" s="6"/>
      <c r="F20" s="2">
        <f>[4]СВОД!$J$36</f>
        <v>9.0010000000000012</v>
      </c>
      <c r="G20" s="2"/>
      <c r="H20" s="2">
        <f>F19-F20</f>
        <v>7.5609999999999964</v>
      </c>
      <c r="I20" s="2"/>
    </row>
    <row r="21" spans="1:9" x14ac:dyDescent="0.25">
      <c r="A21" s="14" t="s">
        <v>1</v>
      </c>
    </row>
    <row r="22" spans="1:9" x14ac:dyDescent="0.25">
      <c r="A22" s="4" t="s">
        <v>20</v>
      </c>
      <c r="B22" s="5">
        <f>[5]СВОД!$J$35/1000</f>
        <v>14.807083911999998</v>
      </c>
      <c r="C22" s="6"/>
      <c r="D22" s="6"/>
      <c r="E22" s="6"/>
      <c r="F22" s="2">
        <f>[5]СВОД!$K$35</f>
        <v>19.693000000000001</v>
      </c>
      <c r="G22" s="3"/>
      <c r="H22" s="2"/>
      <c r="I22" s="2"/>
    </row>
    <row r="23" spans="1:9" x14ac:dyDescent="0.25">
      <c r="A23" s="4" t="s">
        <v>21</v>
      </c>
      <c r="B23" s="5">
        <f>[5]СВОД!$J$36/1000</f>
        <v>7.7915229999999918</v>
      </c>
      <c r="C23" s="6"/>
      <c r="D23" s="5">
        <f>B22-B23</f>
        <v>7.015560912000006</v>
      </c>
      <c r="E23" s="6"/>
      <c r="F23" s="16">
        <f>[5]СВОД!$K$36</f>
        <v>10.173999999999999</v>
      </c>
      <c r="G23" s="2"/>
      <c r="H23" s="16">
        <f>F22-F23</f>
        <v>9.5190000000000019</v>
      </c>
      <c r="I23" s="2"/>
    </row>
    <row r="24" spans="1:9" x14ac:dyDescent="0.25">
      <c r="A24" s="14" t="s">
        <v>2</v>
      </c>
    </row>
    <row r="25" spans="1:9" x14ac:dyDescent="0.25">
      <c r="A25" s="4" t="s">
        <v>20</v>
      </c>
      <c r="B25" s="5">
        <f>[6]СВОД!$J$34/1000</f>
        <v>13.232532184800091</v>
      </c>
      <c r="C25" s="6"/>
      <c r="D25" s="6"/>
      <c r="E25" s="6"/>
      <c r="F25" s="16">
        <f>[6]СВОД!$K$34</f>
        <v>18.451000000000001</v>
      </c>
      <c r="G25" s="3"/>
      <c r="H25" s="2"/>
      <c r="I25" s="2"/>
    </row>
    <row r="26" spans="1:9" x14ac:dyDescent="0.25">
      <c r="A26" s="4" t="s">
        <v>21</v>
      </c>
      <c r="B26" s="5">
        <f>[6]СВОД!$J$35/1000</f>
        <v>7.7143261999999719</v>
      </c>
      <c r="C26" s="6"/>
      <c r="D26" s="5">
        <f>B25-B26</f>
        <v>5.5182059848001188</v>
      </c>
      <c r="E26" s="6"/>
      <c r="F26" s="2">
        <f>[6]СВОД!$K$35</f>
        <v>10.795</v>
      </c>
      <c r="G26" s="2"/>
      <c r="H26" s="16">
        <f>F25-F26</f>
        <v>7.6560000000000006</v>
      </c>
      <c r="I26" s="2"/>
    </row>
    <row r="27" spans="1:9" x14ac:dyDescent="0.25">
      <c r="A27" s="14" t="s">
        <v>3</v>
      </c>
    </row>
    <row r="28" spans="1:9" x14ac:dyDescent="0.25">
      <c r="A28" s="4" t="s">
        <v>20</v>
      </c>
      <c r="B28" s="5">
        <f>[7]СВОД!$J$34/1000</f>
        <v>11.059742051999974</v>
      </c>
      <c r="C28" s="6"/>
      <c r="D28" s="6"/>
      <c r="E28" s="6"/>
      <c r="F28" s="2">
        <v>15.42</v>
      </c>
      <c r="G28" s="3"/>
      <c r="H28" s="2"/>
      <c r="I28" s="2"/>
    </row>
    <row r="29" spans="1:9" x14ac:dyDescent="0.25">
      <c r="A29" s="4" t="s">
        <v>21</v>
      </c>
      <c r="B29" s="5">
        <f>[7]СВОД!$J$35/1000</f>
        <v>6.3497389999999738</v>
      </c>
      <c r="C29" s="6"/>
      <c r="D29" s="5">
        <f>B28-B29</f>
        <v>4.7100030520000002</v>
      </c>
      <c r="E29" s="6"/>
      <c r="F29" s="2">
        <f>[7]СВОД!$K$35</f>
        <v>8.8769999999999989</v>
      </c>
      <c r="G29" s="2"/>
      <c r="H29" s="2">
        <f>F28-F29</f>
        <v>6.543000000000001</v>
      </c>
      <c r="I29" s="2"/>
    </row>
    <row r="30" spans="1:9" x14ac:dyDescent="0.25">
      <c r="A30" s="14" t="s">
        <v>4</v>
      </c>
    </row>
    <row r="31" spans="1:9" x14ac:dyDescent="0.25">
      <c r="A31" s="4" t="s">
        <v>20</v>
      </c>
      <c r="B31" s="5">
        <v>13.801</v>
      </c>
      <c r="C31" s="6"/>
      <c r="D31" s="6"/>
      <c r="E31" s="6"/>
      <c r="F31" s="2">
        <v>18.03</v>
      </c>
      <c r="G31" s="3"/>
      <c r="H31" s="2"/>
      <c r="I31" s="2"/>
    </row>
    <row r="32" spans="1:9" x14ac:dyDescent="0.25">
      <c r="A32" s="4" t="s">
        <v>21</v>
      </c>
      <c r="B32" s="5">
        <v>7.32</v>
      </c>
      <c r="C32" s="6"/>
      <c r="D32" s="5">
        <f>B31-B32</f>
        <v>6.4809999999999999</v>
      </c>
      <c r="E32" s="6"/>
      <c r="F32" s="2">
        <v>9.4700000000000006</v>
      </c>
      <c r="G32" s="2"/>
      <c r="H32" s="2">
        <f>F31-F32</f>
        <v>8.56</v>
      </c>
      <c r="I32" s="2"/>
    </row>
    <row r="33" spans="1:9" x14ac:dyDescent="0.25">
      <c r="A33" s="14" t="s">
        <v>5</v>
      </c>
    </row>
    <row r="34" spans="1:9" x14ac:dyDescent="0.25">
      <c r="A34" s="4" t="s">
        <v>20</v>
      </c>
      <c r="B34" s="5">
        <f>[8]СВОД!$K$34/1000</f>
        <v>13.191856479200039</v>
      </c>
      <c r="C34" s="6"/>
      <c r="D34" s="6"/>
      <c r="E34" s="6"/>
      <c r="F34" s="15">
        <f>[8]СВОД!$M$33</f>
        <v>18.06200302777777</v>
      </c>
      <c r="G34" s="3"/>
      <c r="H34" s="2"/>
      <c r="I34" s="2"/>
    </row>
    <row r="35" spans="1:9" x14ac:dyDescent="0.25">
      <c r="A35" s="4" t="s">
        <v>21</v>
      </c>
      <c r="B35" s="5">
        <f>[8]СВОД!$L$34/1000</f>
        <v>7.359148899999993</v>
      </c>
      <c r="C35" s="6"/>
      <c r="D35" s="5">
        <f>B34-B35</f>
        <v>5.8327075792000462</v>
      </c>
      <c r="E35" s="6"/>
      <c r="F35" s="15">
        <f>[8]СВОД!$M$34</f>
        <v>9.9930000000000003</v>
      </c>
      <c r="G35" s="2"/>
      <c r="H35" s="15">
        <f>F34-F35</f>
        <v>8.0690030277777698</v>
      </c>
      <c r="I35" s="2"/>
    </row>
    <row r="36" spans="1:9" x14ac:dyDescent="0.25">
      <c r="A36" s="14" t="s">
        <v>6</v>
      </c>
    </row>
    <row r="37" spans="1:9" x14ac:dyDescent="0.25">
      <c r="A37" s="4" t="s">
        <v>20</v>
      </c>
      <c r="B37" s="5">
        <v>14.07</v>
      </c>
      <c r="C37" s="6"/>
      <c r="D37" s="6"/>
      <c r="E37" s="6"/>
      <c r="F37" s="2">
        <v>18.98</v>
      </c>
      <c r="G37" s="3"/>
      <c r="H37" s="2"/>
      <c r="I37" s="2"/>
    </row>
    <row r="38" spans="1:9" x14ac:dyDescent="0.25">
      <c r="A38" s="4" t="s">
        <v>21</v>
      </c>
      <c r="B38" s="5">
        <v>7.3780000000000001</v>
      </c>
      <c r="C38" s="6"/>
      <c r="D38" s="5">
        <f>B37-B38</f>
        <v>6.6920000000000002</v>
      </c>
      <c r="E38" s="6"/>
      <c r="F38" s="2">
        <v>9.98</v>
      </c>
      <c r="G38" s="2"/>
      <c r="H38" s="2">
        <f>F37-F38</f>
        <v>9</v>
      </c>
      <c r="I38" s="2"/>
    </row>
    <row r="39" spans="1:9" x14ac:dyDescent="0.25">
      <c r="A39" s="14" t="s">
        <v>7</v>
      </c>
    </row>
    <row r="40" spans="1:9" x14ac:dyDescent="0.25">
      <c r="A40" s="4" t="s">
        <v>20</v>
      </c>
      <c r="B40" s="5">
        <v>13.01</v>
      </c>
      <c r="C40" s="6"/>
      <c r="D40" s="6"/>
      <c r="E40" s="6"/>
      <c r="F40" s="2">
        <v>18.36</v>
      </c>
      <c r="G40" s="3"/>
      <c r="H40" s="2"/>
      <c r="I40" s="2"/>
    </row>
    <row r="41" spans="1:9" x14ac:dyDescent="0.25">
      <c r="A41" s="4" t="s">
        <v>21</v>
      </c>
      <c r="B41" s="5">
        <v>6.165</v>
      </c>
      <c r="C41" s="6"/>
      <c r="D41" s="5">
        <f>B40-B41</f>
        <v>6.8449999999999998</v>
      </c>
      <c r="E41" s="6"/>
      <c r="F41" s="2">
        <v>8.59</v>
      </c>
      <c r="G41" s="2"/>
      <c r="H41" s="2">
        <f>F40-F41</f>
        <v>9.77</v>
      </c>
      <c r="I41" s="2"/>
    </row>
    <row r="42" spans="1:9" x14ac:dyDescent="0.25">
      <c r="A42" s="14" t="s">
        <v>8</v>
      </c>
    </row>
    <row r="43" spans="1:9" x14ac:dyDescent="0.25">
      <c r="A43" s="4" t="s">
        <v>20</v>
      </c>
      <c r="B43" s="5">
        <v>12.843</v>
      </c>
      <c r="C43" s="6"/>
      <c r="D43" s="6"/>
      <c r="E43" s="6"/>
      <c r="F43" s="2">
        <v>17.097999999999999</v>
      </c>
      <c r="G43" s="3"/>
      <c r="H43" s="2"/>
      <c r="I43" s="2"/>
    </row>
    <row r="44" spans="1:9" x14ac:dyDescent="0.25">
      <c r="A44" s="4" t="s">
        <v>21</v>
      </c>
      <c r="B44" s="5">
        <v>5.7089999999999996</v>
      </c>
      <c r="C44" s="6"/>
      <c r="D44" s="5">
        <f>B43-B44</f>
        <v>7.1340000000000003</v>
      </c>
      <c r="E44" s="6"/>
      <c r="F44" s="2">
        <v>7.56</v>
      </c>
      <c r="G44" s="2"/>
      <c r="H44" s="2">
        <f>F43-F44</f>
        <v>9.5380000000000003</v>
      </c>
      <c r="I44" s="2"/>
    </row>
  </sheetData>
  <mergeCells count="6">
    <mergeCell ref="A1:I1"/>
    <mergeCell ref="B6:E6"/>
    <mergeCell ref="F6:I6"/>
    <mergeCell ref="A7:A8"/>
    <mergeCell ref="B7:E7"/>
    <mergeCell ref="F7:I7"/>
  </mergeCells>
  <pageMargins left="0.7" right="0.7" top="0.75" bottom="0.75" header="0.3" footer="0.3"/>
  <pageSetup paperSize="9" orientation="portrait" r:id="rId1"/>
  <headerFooter>
    <oddHeader>&amp;L&amp;"Calibri"&amp;9&amp;K000000Corporate&amp;1#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F68A-7432-4D38-9092-93ABD0AF499F}">
  <dimension ref="A1:I44"/>
  <sheetViews>
    <sheetView topLeftCell="A11" workbookViewId="0">
      <selection activeCell="L43" sqref="L43"/>
    </sheetView>
  </sheetViews>
  <sheetFormatPr defaultRowHeight="15" outlineLevelRow="1" x14ac:dyDescent="0.25"/>
  <cols>
    <col min="1" max="1" width="29" customWidth="1"/>
    <col min="2" max="2" width="9.42578125" bestFit="1" customWidth="1"/>
    <col min="4" max="4" width="10.42578125" bestFit="1" customWidth="1"/>
  </cols>
  <sheetData>
    <row r="1" spans="1:9" ht="44.25" customHeight="1" x14ac:dyDescent="0.25">
      <c r="A1" s="17" t="s">
        <v>18</v>
      </c>
      <c r="B1" s="17"/>
      <c r="C1" s="17"/>
      <c r="D1" s="17"/>
      <c r="E1" s="17"/>
      <c r="F1" s="18"/>
      <c r="G1" s="18"/>
      <c r="H1" s="18"/>
      <c r="I1" s="18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  <c r="E3" s="1"/>
    </row>
    <row r="5" spans="1:9" x14ac:dyDescent="0.25">
      <c r="A5" t="s">
        <v>31</v>
      </c>
    </row>
    <row r="6" spans="1:9" x14ac:dyDescent="0.25">
      <c r="A6" s="8"/>
      <c r="B6" s="19" t="s">
        <v>16</v>
      </c>
      <c r="C6" s="19"/>
      <c r="D6" s="19"/>
      <c r="E6" s="19"/>
      <c r="F6" s="19" t="s">
        <v>0</v>
      </c>
      <c r="G6" s="19"/>
      <c r="H6" s="19"/>
      <c r="I6" s="19"/>
    </row>
    <row r="7" spans="1:9" x14ac:dyDescent="0.25">
      <c r="A7" s="20" t="s">
        <v>11</v>
      </c>
      <c r="B7" s="21" t="s">
        <v>9</v>
      </c>
      <c r="C7" s="21"/>
      <c r="D7" s="21"/>
      <c r="E7" s="21"/>
      <c r="F7" s="19" t="str">
        <f>B7</f>
        <v>Уровень напряжения</v>
      </c>
      <c r="G7" s="19"/>
      <c r="H7" s="19"/>
      <c r="I7" s="19"/>
    </row>
    <row r="8" spans="1:9" x14ac:dyDescent="0.25">
      <c r="A8" s="20"/>
      <c r="B8" s="9" t="s">
        <v>12</v>
      </c>
      <c r="C8" s="9" t="s">
        <v>13</v>
      </c>
      <c r="D8" s="9" t="s">
        <v>14</v>
      </c>
      <c r="E8" s="9" t="s">
        <v>15</v>
      </c>
      <c r="F8" s="10" t="str">
        <f>B8</f>
        <v>ВН</v>
      </c>
      <c r="G8" s="11" t="str">
        <f>C8</f>
        <v>СН</v>
      </c>
      <c r="H8" s="10" t="str">
        <f>D8</f>
        <v>СН II</v>
      </c>
      <c r="I8" s="10" t="str">
        <f>E8</f>
        <v>НН</v>
      </c>
    </row>
    <row r="9" spans="1:9" x14ac:dyDescent="0.25">
      <c r="A9" s="12" t="s">
        <v>10</v>
      </c>
      <c r="B9" s="9"/>
      <c r="C9" s="9"/>
      <c r="D9" s="9"/>
      <c r="E9" s="9"/>
      <c r="F9" s="10"/>
      <c r="G9" s="11"/>
      <c r="H9" s="10"/>
      <c r="I9" s="10"/>
    </row>
    <row r="10" spans="1:9" x14ac:dyDescent="0.25">
      <c r="A10" s="4" t="s">
        <v>20</v>
      </c>
      <c r="B10" s="5">
        <v>13.627000000000001</v>
      </c>
      <c r="C10" s="6"/>
      <c r="D10" s="6"/>
      <c r="E10" s="6"/>
      <c r="F10" s="2">
        <v>18.420000000000002</v>
      </c>
      <c r="G10" s="3"/>
      <c r="H10" s="2"/>
      <c r="I10" s="2"/>
    </row>
    <row r="11" spans="1:9" outlineLevel="1" x14ac:dyDescent="0.25">
      <c r="A11" s="4" t="s">
        <v>21</v>
      </c>
      <c r="B11" s="5">
        <v>6.1239999999999997</v>
      </c>
      <c r="C11" s="6"/>
      <c r="D11" s="6">
        <v>7.5030000000000001</v>
      </c>
      <c r="E11" s="6"/>
      <c r="F11" s="2">
        <v>8.2929999999999993</v>
      </c>
      <c r="G11" s="2"/>
      <c r="H11" s="2">
        <v>10.119999999999999</v>
      </c>
      <c r="I11" s="2"/>
    </row>
    <row r="12" spans="1:9" x14ac:dyDescent="0.25">
      <c r="A12" s="13" t="s">
        <v>22</v>
      </c>
      <c r="G12" s="7"/>
    </row>
    <row r="13" spans="1:9" x14ac:dyDescent="0.25">
      <c r="A13" s="4" t="s">
        <v>20</v>
      </c>
      <c r="B13" s="5">
        <v>11.538</v>
      </c>
      <c r="C13" s="6"/>
      <c r="D13" s="6"/>
      <c r="E13" s="6"/>
      <c r="F13" s="2">
        <v>17.309999999999999</v>
      </c>
      <c r="G13" s="3"/>
      <c r="H13" s="2"/>
      <c r="I13" s="2"/>
    </row>
    <row r="14" spans="1:9" x14ac:dyDescent="0.25">
      <c r="A14" s="4" t="s">
        <v>21</v>
      </c>
      <c r="B14" s="5">
        <v>5.718</v>
      </c>
      <c r="C14" s="6"/>
      <c r="D14" s="6">
        <v>5.819</v>
      </c>
      <c r="E14" s="6"/>
      <c r="F14" s="2">
        <v>8.4740000000000002</v>
      </c>
      <c r="G14" s="2"/>
      <c r="H14" s="2">
        <v>8.83</v>
      </c>
      <c r="I14" s="2"/>
    </row>
    <row r="15" spans="1:9" x14ac:dyDescent="0.25">
      <c r="A15" s="14" t="s">
        <v>23</v>
      </c>
    </row>
    <row r="16" spans="1:9" x14ac:dyDescent="0.25">
      <c r="A16" s="4" t="s">
        <v>20</v>
      </c>
      <c r="B16" s="5">
        <v>13.69</v>
      </c>
      <c r="C16" s="6"/>
      <c r="D16" s="6"/>
      <c r="E16" s="6"/>
      <c r="F16" s="2">
        <v>18.501999999999999</v>
      </c>
      <c r="G16" s="3"/>
      <c r="H16" s="2"/>
      <c r="I16" s="2"/>
    </row>
    <row r="17" spans="1:9" x14ac:dyDescent="0.25">
      <c r="A17" s="4" t="s">
        <v>21</v>
      </c>
      <c r="B17" s="5">
        <v>6.6219999999999999</v>
      </c>
      <c r="C17" s="6"/>
      <c r="D17" s="6">
        <v>7.0679999999999996</v>
      </c>
      <c r="E17" s="6"/>
      <c r="F17" s="2">
        <v>8.9770000000000003</v>
      </c>
      <c r="G17" s="2"/>
      <c r="H17" s="2">
        <v>9.5250000000000004</v>
      </c>
      <c r="I17" s="2"/>
    </row>
    <row r="18" spans="1:9" x14ac:dyDescent="0.25">
      <c r="A18" s="14" t="s">
        <v>24</v>
      </c>
    </row>
    <row r="19" spans="1:9" x14ac:dyDescent="0.25">
      <c r="A19" s="4" t="s">
        <v>20</v>
      </c>
      <c r="B19" s="5">
        <v>14.728</v>
      </c>
      <c r="C19" s="6"/>
      <c r="D19" s="6"/>
      <c r="E19" s="6"/>
      <c r="F19" s="2">
        <v>20.271000000000001</v>
      </c>
      <c r="G19" s="3"/>
      <c r="H19" s="2"/>
      <c r="I19" s="2"/>
    </row>
    <row r="20" spans="1:9" x14ac:dyDescent="0.25">
      <c r="A20" s="4" t="s">
        <v>21</v>
      </c>
      <c r="B20" s="5">
        <v>7.93</v>
      </c>
      <c r="C20" s="6"/>
      <c r="D20" s="6">
        <v>6.798</v>
      </c>
      <c r="E20" s="6"/>
      <c r="F20" s="2">
        <v>10.94</v>
      </c>
      <c r="G20" s="2"/>
      <c r="H20" s="2">
        <v>9.3309999999999995</v>
      </c>
      <c r="I20" s="2"/>
    </row>
    <row r="21" spans="1:9" x14ac:dyDescent="0.25">
      <c r="A21" s="14" t="s">
        <v>1</v>
      </c>
    </row>
    <row r="22" spans="1:9" x14ac:dyDescent="0.25">
      <c r="A22" s="4" t="s">
        <v>20</v>
      </c>
      <c r="B22" s="5">
        <v>14.9</v>
      </c>
      <c r="C22" s="6"/>
      <c r="D22" s="6"/>
      <c r="E22" s="6"/>
      <c r="F22" s="2">
        <v>22.042000000000002</v>
      </c>
      <c r="G22" s="3"/>
      <c r="H22" s="2"/>
      <c r="I22" s="2"/>
    </row>
    <row r="23" spans="1:9" x14ac:dyDescent="0.25">
      <c r="A23" s="4" t="s">
        <v>21</v>
      </c>
      <c r="B23" s="5">
        <v>7.7320000000000002</v>
      </c>
      <c r="C23" s="6"/>
      <c r="D23" s="5">
        <v>7.1680000000000001</v>
      </c>
      <c r="E23" s="6"/>
      <c r="F23" s="2">
        <v>10.08</v>
      </c>
      <c r="G23" s="2"/>
      <c r="H23" s="2">
        <v>11.962000000000002</v>
      </c>
      <c r="I23" s="2"/>
    </row>
    <row r="24" spans="1:9" x14ac:dyDescent="0.25">
      <c r="A24" s="14" t="s">
        <v>2</v>
      </c>
    </row>
    <row r="25" spans="1:9" x14ac:dyDescent="0.25">
      <c r="A25" s="4" t="s">
        <v>20</v>
      </c>
      <c r="B25" s="5">
        <v>14.343999999999999</v>
      </c>
      <c r="C25" s="6"/>
      <c r="D25" s="6"/>
      <c r="E25" s="6"/>
      <c r="F25" s="2">
        <v>19.550999999999998</v>
      </c>
      <c r="G25" s="3"/>
      <c r="H25" s="2"/>
      <c r="I25" s="2"/>
    </row>
    <row r="26" spans="1:9" x14ac:dyDescent="0.25">
      <c r="A26" s="4" t="s">
        <v>21</v>
      </c>
      <c r="B26" s="5">
        <v>7.5</v>
      </c>
      <c r="C26" s="6"/>
      <c r="D26" s="5">
        <f>B25-B26</f>
        <v>6.8439999999999994</v>
      </c>
      <c r="E26" s="6"/>
      <c r="F26" s="2">
        <v>10.193</v>
      </c>
      <c r="G26" s="2"/>
      <c r="H26" s="2">
        <f>F25-F26</f>
        <v>9.3579999999999988</v>
      </c>
      <c r="I26" s="2"/>
    </row>
    <row r="27" spans="1:9" x14ac:dyDescent="0.25">
      <c r="A27" s="14" t="s">
        <v>3</v>
      </c>
    </row>
    <row r="28" spans="1:9" x14ac:dyDescent="0.25">
      <c r="A28" s="4" t="s">
        <v>20</v>
      </c>
      <c r="B28" s="5">
        <v>14.12</v>
      </c>
      <c r="C28" s="6"/>
      <c r="D28" s="6"/>
      <c r="E28" s="6"/>
      <c r="F28" s="2">
        <v>19.07</v>
      </c>
      <c r="G28" s="3"/>
      <c r="H28" s="2"/>
      <c r="I28" s="2"/>
    </row>
    <row r="29" spans="1:9" x14ac:dyDescent="0.25">
      <c r="A29" s="4" t="s">
        <v>21</v>
      </c>
      <c r="B29" s="5">
        <v>7.4470000000000001</v>
      </c>
      <c r="C29" s="6"/>
      <c r="D29" s="5">
        <f>B28-B29</f>
        <v>6.6729999999999992</v>
      </c>
      <c r="E29" s="6"/>
      <c r="F29" s="2">
        <v>10.11</v>
      </c>
      <c r="G29" s="2"/>
      <c r="H29" s="2">
        <f>F28-F29</f>
        <v>8.9600000000000009</v>
      </c>
      <c r="I29" s="2"/>
    </row>
    <row r="30" spans="1:9" x14ac:dyDescent="0.25">
      <c r="A30" s="14" t="s">
        <v>4</v>
      </c>
    </row>
    <row r="31" spans="1:9" x14ac:dyDescent="0.25">
      <c r="A31" s="4" t="s">
        <v>20</v>
      </c>
      <c r="B31" s="5">
        <v>13.935</v>
      </c>
      <c r="C31" s="6"/>
      <c r="D31" s="6"/>
      <c r="E31" s="6"/>
      <c r="F31" s="2">
        <v>18.71</v>
      </c>
      <c r="G31" s="3"/>
      <c r="H31" s="2"/>
      <c r="I31" s="2"/>
    </row>
    <row r="32" spans="1:9" x14ac:dyDescent="0.25">
      <c r="A32" s="4" t="s">
        <v>21</v>
      </c>
      <c r="B32" s="5">
        <v>7.5209999999999999</v>
      </c>
      <c r="C32" s="6"/>
      <c r="D32" s="5">
        <f>B31-B32</f>
        <v>6.4140000000000006</v>
      </c>
      <c r="E32" s="6"/>
      <c r="F32" s="2">
        <v>10.11</v>
      </c>
      <c r="G32" s="2"/>
      <c r="H32" s="2">
        <f>F31-F32</f>
        <v>8.6000000000000014</v>
      </c>
      <c r="I32" s="2"/>
    </row>
    <row r="33" spans="1:9" x14ac:dyDescent="0.25">
      <c r="A33" s="14" t="s">
        <v>5</v>
      </c>
    </row>
    <row r="34" spans="1:9" x14ac:dyDescent="0.25">
      <c r="A34" s="4" t="s">
        <v>20</v>
      </c>
      <c r="B34" s="5">
        <v>13.305</v>
      </c>
      <c r="C34" s="6"/>
      <c r="D34" s="6"/>
      <c r="E34" s="6"/>
      <c r="F34" s="2">
        <v>18.434000000000001</v>
      </c>
      <c r="G34" s="3"/>
      <c r="H34" s="2"/>
      <c r="I34" s="2"/>
    </row>
    <row r="35" spans="1:9" x14ac:dyDescent="0.25">
      <c r="A35" s="4" t="s">
        <v>21</v>
      </c>
      <c r="B35" s="5">
        <v>6.548</v>
      </c>
      <c r="C35" s="6"/>
      <c r="D35" s="5">
        <f>B34-B35</f>
        <v>6.7569999999999997</v>
      </c>
      <c r="E35" s="6"/>
      <c r="F35" s="2">
        <v>8.98</v>
      </c>
      <c r="G35" s="2"/>
      <c r="H35" s="2">
        <f>F34-F35</f>
        <v>9.4540000000000006</v>
      </c>
      <c r="I35" s="2"/>
    </row>
    <row r="36" spans="1:9" x14ac:dyDescent="0.25">
      <c r="A36" s="14" t="s">
        <v>6</v>
      </c>
    </row>
    <row r="37" spans="1:9" x14ac:dyDescent="0.25">
      <c r="A37" s="4" t="s">
        <v>20</v>
      </c>
      <c r="B37" s="5">
        <v>13.326000000000001</v>
      </c>
      <c r="C37" s="6"/>
      <c r="D37" s="6"/>
      <c r="E37" s="6"/>
      <c r="F37" s="2">
        <v>17.766999999999999</v>
      </c>
      <c r="G37" s="3"/>
      <c r="H37" s="2"/>
      <c r="I37" s="2"/>
    </row>
    <row r="38" spans="1:9" x14ac:dyDescent="0.25">
      <c r="A38" s="4" t="s">
        <v>21</v>
      </c>
      <c r="B38" s="5">
        <v>6.2389999999999999</v>
      </c>
      <c r="C38" s="6"/>
      <c r="D38" s="6">
        <v>7.0869999999999997</v>
      </c>
      <c r="E38" s="6"/>
      <c r="F38" s="2">
        <v>8.19</v>
      </c>
      <c r="G38" s="2"/>
      <c r="H38" s="2">
        <v>9.5760000000000005</v>
      </c>
      <c r="I38" s="2"/>
    </row>
    <row r="39" spans="1:9" x14ac:dyDescent="0.25">
      <c r="A39" s="14" t="s">
        <v>7</v>
      </c>
    </row>
    <row r="40" spans="1:9" x14ac:dyDescent="0.25">
      <c r="A40" s="4" t="s">
        <v>20</v>
      </c>
      <c r="B40" s="5">
        <v>14.513999999999999</v>
      </c>
      <c r="C40" s="6"/>
      <c r="D40" s="6"/>
      <c r="E40" s="6"/>
      <c r="F40" s="2">
        <v>20.23</v>
      </c>
      <c r="G40" s="3"/>
      <c r="H40" s="2"/>
      <c r="I40" s="2"/>
    </row>
    <row r="41" spans="1:9" x14ac:dyDescent="0.25">
      <c r="A41" s="4" t="s">
        <v>21</v>
      </c>
      <c r="B41" s="5">
        <v>7.4729999999999999</v>
      </c>
      <c r="C41" s="6"/>
      <c r="D41" s="5">
        <v>7.04</v>
      </c>
      <c r="E41" s="6"/>
      <c r="F41" s="2">
        <v>10.252000000000001</v>
      </c>
      <c r="G41" s="2"/>
      <c r="H41" s="2">
        <v>9.9779999999999998</v>
      </c>
      <c r="I41" s="2"/>
    </row>
    <row r="42" spans="1:9" x14ac:dyDescent="0.25">
      <c r="A42" s="14" t="s">
        <v>8</v>
      </c>
    </row>
    <row r="43" spans="1:9" x14ac:dyDescent="0.25">
      <c r="A43" s="4" t="s">
        <v>20</v>
      </c>
      <c r="B43" s="5">
        <v>14.922000000000001</v>
      </c>
      <c r="C43" s="6"/>
      <c r="D43" s="6"/>
      <c r="E43" s="6"/>
      <c r="F43" s="2">
        <v>20.126999999999999</v>
      </c>
      <c r="G43" s="3"/>
      <c r="H43" s="2"/>
      <c r="I43" s="2"/>
    </row>
    <row r="44" spans="1:9" x14ac:dyDescent="0.25">
      <c r="A44" s="4" t="s">
        <v>21</v>
      </c>
      <c r="B44" s="5">
        <v>7.9109999999999996</v>
      </c>
      <c r="C44" s="6"/>
      <c r="D44" s="6">
        <v>7.0110000000000001</v>
      </c>
      <c r="E44" s="6"/>
      <c r="F44" s="2">
        <v>10.772</v>
      </c>
      <c r="G44" s="2"/>
      <c r="H44" s="2">
        <v>9.3550000000000004</v>
      </c>
      <c r="I44" s="2"/>
    </row>
  </sheetData>
  <mergeCells count="6">
    <mergeCell ref="A1:I1"/>
    <mergeCell ref="B6:E6"/>
    <mergeCell ref="F6:I6"/>
    <mergeCell ref="A7:A8"/>
    <mergeCell ref="B7:E7"/>
    <mergeCell ref="F7:I7"/>
  </mergeCells>
  <pageMargins left="0.7" right="0.7" top="0.75" bottom="0.75" header="0.3" footer="0.3"/>
  <pageSetup paperSize="9" orientation="portrait" r:id="rId1"/>
  <headerFooter>
    <oddHeader>&amp;L&amp;"Calibri"&amp;9&amp;K000000Corporate&amp;1#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7B04B-FFC8-4E40-B22B-430B9301F620}">
  <dimension ref="A1:I44"/>
  <sheetViews>
    <sheetView topLeftCell="A7" workbookViewId="0">
      <selection activeCell="I50" sqref="I50"/>
    </sheetView>
  </sheetViews>
  <sheetFormatPr defaultRowHeight="15" outlineLevelRow="1" x14ac:dyDescent="0.25"/>
  <cols>
    <col min="1" max="1" width="29" customWidth="1"/>
    <col min="2" max="2" width="9.42578125" bestFit="1" customWidth="1"/>
    <col min="4" max="4" width="10.42578125" bestFit="1" customWidth="1"/>
  </cols>
  <sheetData>
    <row r="1" spans="1:9" ht="44.25" customHeight="1" x14ac:dyDescent="0.25">
      <c r="A1" s="17" t="s">
        <v>18</v>
      </c>
      <c r="B1" s="17"/>
      <c r="C1" s="17"/>
      <c r="D1" s="17"/>
      <c r="E1" s="17"/>
      <c r="F1" s="18"/>
      <c r="G1" s="18"/>
      <c r="H1" s="18"/>
      <c r="I1" s="18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  <c r="E3" s="1"/>
    </row>
    <row r="5" spans="1:9" x14ac:dyDescent="0.25">
      <c r="A5" t="s">
        <v>30</v>
      </c>
    </row>
    <row r="6" spans="1:9" x14ac:dyDescent="0.25">
      <c r="A6" s="8"/>
      <c r="B6" s="19" t="s">
        <v>16</v>
      </c>
      <c r="C6" s="19"/>
      <c r="D6" s="19"/>
      <c r="E6" s="19"/>
      <c r="F6" s="19" t="s">
        <v>0</v>
      </c>
      <c r="G6" s="19"/>
      <c r="H6" s="19"/>
      <c r="I6" s="19"/>
    </row>
    <row r="7" spans="1:9" x14ac:dyDescent="0.25">
      <c r="A7" s="20" t="s">
        <v>11</v>
      </c>
      <c r="B7" s="21" t="s">
        <v>9</v>
      </c>
      <c r="C7" s="21"/>
      <c r="D7" s="21"/>
      <c r="E7" s="21"/>
      <c r="F7" s="19" t="str">
        <f>B7</f>
        <v>Уровень напряжения</v>
      </c>
      <c r="G7" s="19"/>
      <c r="H7" s="19"/>
      <c r="I7" s="19"/>
    </row>
    <row r="8" spans="1:9" x14ac:dyDescent="0.25">
      <c r="A8" s="20"/>
      <c r="B8" s="9" t="s">
        <v>12</v>
      </c>
      <c r="C8" s="9" t="s">
        <v>13</v>
      </c>
      <c r="D8" s="9" t="s">
        <v>14</v>
      </c>
      <c r="E8" s="9" t="s">
        <v>15</v>
      </c>
      <c r="F8" s="10" t="str">
        <f>B8</f>
        <v>ВН</v>
      </c>
      <c r="G8" s="11" t="str">
        <f>C8</f>
        <v>СН</v>
      </c>
      <c r="H8" s="10" t="str">
        <f>D8</f>
        <v>СН II</v>
      </c>
      <c r="I8" s="10" t="str">
        <f>E8</f>
        <v>НН</v>
      </c>
    </row>
    <row r="9" spans="1:9" x14ac:dyDescent="0.25">
      <c r="A9" s="12" t="s">
        <v>10</v>
      </c>
      <c r="B9" s="9"/>
      <c r="C9" s="9"/>
      <c r="D9" s="9"/>
      <c r="E9" s="9"/>
      <c r="F9" s="10"/>
      <c r="G9" s="11"/>
      <c r="H9" s="10"/>
      <c r="I9" s="10"/>
    </row>
    <row r="10" spans="1:9" x14ac:dyDescent="0.25">
      <c r="A10" s="4" t="s">
        <v>20</v>
      </c>
      <c r="B10" s="5">
        <v>12.263</v>
      </c>
      <c r="C10" s="6"/>
      <c r="D10" s="6"/>
      <c r="E10" s="6"/>
      <c r="F10" s="2">
        <v>16.491</v>
      </c>
      <c r="G10" s="3"/>
      <c r="H10" s="2"/>
      <c r="I10" s="2"/>
    </row>
    <row r="11" spans="1:9" outlineLevel="1" x14ac:dyDescent="0.25">
      <c r="A11" s="4" t="s">
        <v>21</v>
      </c>
      <c r="B11" s="5">
        <v>5.1100000000000003</v>
      </c>
      <c r="C11" s="6"/>
      <c r="D11" s="6">
        <v>7.1139999999999999</v>
      </c>
      <c r="E11" s="6"/>
      <c r="F11" s="2">
        <v>6.8689999999999998</v>
      </c>
      <c r="G11" s="2"/>
      <c r="H11" s="2">
        <v>9.6219999999999999</v>
      </c>
      <c r="I11" s="2"/>
    </row>
    <row r="12" spans="1:9" x14ac:dyDescent="0.25">
      <c r="A12" s="13" t="s">
        <v>22</v>
      </c>
      <c r="G12" s="7"/>
    </row>
    <row r="13" spans="1:9" x14ac:dyDescent="0.25">
      <c r="A13" s="4" t="s">
        <v>20</v>
      </c>
      <c r="B13" s="5">
        <v>11.914999999999999</v>
      </c>
      <c r="C13" s="6"/>
      <c r="D13" s="6"/>
      <c r="E13" s="6"/>
      <c r="F13" s="2">
        <v>17.167000000000002</v>
      </c>
      <c r="G13" s="3"/>
      <c r="H13" s="2"/>
      <c r="I13" s="2"/>
    </row>
    <row r="14" spans="1:9" x14ac:dyDescent="0.25">
      <c r="A14" s="4" t="s">
        <v>21</v>
      </c>
      <c r="B14" s="5">
        <v>5.4480000000000004</v>
      </c>
      <c r="C14" s="6"/>
      <c r="D14" s="6">
        <v>6.4290000000000003</v>
      </c>
      <c r="E14" s="6"/>
      <c r="F14" s="2">
        <v>7.8280000000000003</v>
      </c>
      <c r="G14" s="2"/>
      <c r="H14" s="2">
        <v>9.3390000000000004</v>
      </c>
      <c r="I14" s="2"/>
    </row>
    <row r="15" spans="1:9" x14ac:dyDescent="0.25">
      <c r="A15" s="14" t="s">
        <v>23</v>
      </c>
    </row>
    <row r="16" spans="1:9" x14ac:dyDescent="0.25">
      <c r="A16" s="4" t="s">
        <v>20</v>
      </c>
      <c r="B16" s="5">
        <v>12.776</v>
      </c>
      <c r="C16" s="6"/>
      <c r="D16" s="6"/>
      <c r="E16" s="6"/>
      <c r="F16" s="2">
        <v>17.068999999999999</v>
      </c>
      <c r="G16" s="3"/>
      <c r="H16" s="2"/>
      <c r="I16" s="2"/>
    </row>
    <row r="17" spans="1:9" x14ac:dyDescent="0.25">
      <c r="A17" s="4" t="s">
        <v>21</v>
      </c>
      <c r="B17" s="5">
        <v>5.7519999999999998</v>
      </c>
      <c r="C17" s="6"/>
      <c r="D17" s="6">
        <v>6.99</v>
      </c>
      <c r="E17" s="6"/>
      <c r="F17" s="2">
        <v>7.7320000000000002</v>
      </c>
      <c r="G17" s="2"/>
      <c r="H17" s="2">
        <v>9.3369999999999997</v>
      </c>
      <c r="I17" s="2"/>
    </row>
    <row r="18" spans="1:9" x14ac:dyDescent="0.25">
      <c r="A18" s="14" t="s">
        <v>24</v>
      </c>
    </row>
    <row r="19" spans="1:9" x14ac:dyDescent="0.25">
      <c r="A19" s="4" t="s">
        <v>20</v>
      </c>
      <c r="B19" s="5">
        <v>12.125</v>
      </c>
      <c r="C19" s="6"/>
      <c r="D19" s="6"/>
      <c r="E19" s="6"/>
      <c r="F19" s="2">
        <v>17.343</v>
      </c>
      <c r="G19" s="3"/>
      <c r="H19" s="2"/>
      <c r="I19" s="2"/>
    </row>
    <row r="20" spans="1:9" x14ac:dyDescent="0.25">
      <c r="A20" s="4" t="s">
        <v>21</v>
      </c>
      <c r="B20" s="5">
        <v>5.73</v>
      </c>
      <c r="C20" s="6"/>
      <c r="D20" s="6">
        <v>6.3639999999999999</v>
      </c>
      <c r="E20" s="6"/>
      <c r="F20" s="2">
        <v>7.9580000000000002</v>
      </c>
      <c r="G20" s="2"/>
      <c r="H20" s="2">
        <v>9.3849999999999998</v>
      </c>
      <c r="I20" s="2"/>
    </row>
    <row r="21" spans="1:9" x14ac:dyDescent="0.25">
      <c r="A21" s="14" t="s">
        <v>1</v>
      </c>
    </row>
    <row r="22" spans="1:9" x14ac:dyDescent="0.25">
      <c r="A22" s="4" t="s">
        <v>20</v>
      </c>
      <c r="B22" s="5">
        <v>11.116</v>
      </c>
      <c r="C22" s="6"/>
      <c r="D22" s="6"/>
      <c r="E22" s="6"/>
      <c r="F22" s="2">
        <v>13.891999999999999</v>
      </c>
      <c r="G22" s="3"/>
      <c r="H22" s="2"/>
      <c r="I22" s="2"/>
    </row>
    <row r="23" spans="1:9" x14ac:dyDescent="0.25">
      <c r="A23" s="4" t="s">
        <v>21</v>
      </c>
      <c r="B23" s="5">
        <v>4.3650000000000002</v>
      </c>
      <c r="C23" s="6"/>
      <c r="D23" s="6">
        <v>6.7510000000000003</v>
      </c>
      <c r="E23" s="6"/>
      <c r="F23" s="2">
        <v>4.8120000000000003</v>
      </c>
      <c r="G23" s="2"/>
      <c r="H23" s="2">
        <v>90.8</v>
      </c>
      <c r="I23" s="2"/>
    </row>
    <row r="24" spans="1:9" x14ac:dyDescent="0.25">
      <c r="A24" s="14" t="s">
        <v>2</v>
      </c>
    </row>
    <row r="25" spans="1:9" x14ac:dyDescent="0.25">
      <c r="A25" s="4" t="s">
        <v>20</v>
      </c>
      <c r="B25" s="5">
        <v>12.1</v>
      </c>
      <c r="C25" s="6"/>
      <c r="D25" s="6"/>
      <c r="E25" s="6"/>
      <c r="F25" s="2">
        <v>16.981999999999999</v>
      </c>
      <c r="G25" s="3"/>
      <c r="H25" s="2"/>
      <c r="I25" s="2"/>
    </row>
    <row r="26" spans="1:9" x14ac:dyDescent="0.25">
      <c r="A26" s="4" t="s">
        <v>21</v>
      </c>
      <c r="B26" s="5">
        <v>5.5190000000000001</v>
      </c>
      <c r="C26" s="6"/>
      <c r="D26" s="6">
        <v>6.5579999999999998</v>
      </c>
      <c r="E26" s="6"/>
      <c r="F26" s="2">
        <v>7.66</v>
      </c>
      <c r="G26" s="2"/>
      <c r="H26" s="2">
        <v>9.27</v>
      </c>
      <c r="I26" s="2"/>
    </row>
    <row r="27" spans="1:9" x14ac:dyDescent="0.25">
      <c r="A27" s="14" t="s">
        <v>3</v>
      </c>
    </row>
    <row r="28" spans="1:9" x14ac:dyDescent="0.25">
      <c r="A28" s="4" t="s">
        <v>20</v>
      </c>
      <c r="B28" s="5">
        <v>12.356999999999999</v>
      </c>
      <c r="C28" s="6"/>
      <c r="D28" s="6"/>
      <c r="E28" s="6"/>
      <c r="F28" s="2">
        <v>16.192</v>
      </c>
      <c r="G28" s="3"/>
      <c r="H28" s="2"/>
      <c r="I28" s="2"/>
    </row>
    <row r="29" spans="1:9" x14ac:dyDescent="0.25">
      <c r="A29" s="4" t="s">
        <v>21</v>
      </c>
      <c r="B29" s="5">
        <v>5.6020000000000003</v>
      </c>
      <c r="C29" s="6"/>
      <c r="D29" s="6">
        <v>6.74</v>
      </c>
      <c r="E29" s="6"/>
      <c r="F29" s="2">
        <v>7.33</v>
      </c>
      <c r="G29" s="2"/>
      <c r="H29" s="2">
        <v>8.8620000000000001</v>
      </c>
      <c r="I29" s="2"/>
    </row>
    <row r="30" spans="1:9" x14ac:dyDescent="0.25">
      <c r="A30" s="14" t="s">
        <v>4</v>
      </c>
    </row>
    <row r="31" spans="1:9" x14ac:dyDescent="0.25">
      <c r="A31" s="4" t="s">
        <v>20</v>
      </c>
      <c r="B31" s="5">
        <v>10.984</v>
      </c>
      <c r="C31" s="6"/>
      <c r="D31" s="6"/>
      <c r="E31" s="6"/>
      <c r="F31" s="2">
        <v>14.775</v>
      </c>
      <c r="G31" s="3"/>
      <c r="H31" s="2"/>
      <c r="I31" s="2"/>
    </row>
    <row r="32" spans="1:9" x14ac:dyDescent="0.25">
      <c r="A32" s="4" t="s">
        <v>21</v>
      </c>
      <c r="B32" s="5">
        <v>5.3339999999999996</v>
      </c>
      <c r="C32" s="6"/>
      <c r="D32" s="5">
        <v>5.649</v>
      </c>
      <c r="E32" s="6"/>
      <c r="F32" s="2">
        <v>7.1230000000000002</v>
      </c>
      <c r="G32" s="2"/>
      <c r="H32" s="2">
        <v>7.6520000000000001</v>
      </c>
      <c r="I32" s="2"/>
    </row>
    <row r="33" spans="1:9" x14ac:dyDescent="0.25">
      <c r="A33" s="14" t="s">
        <v>5</v>
      </c>
    </row>
    <row r="34" spans="1:9" x14ac:dyDescent="0.25">
      <c r="A34" s="4" t="s">
        <v>20</v>
      </c>
      <c r="B34" s="5">
        <v>11.71</v>
      </c>
      <c r="C34" s="6"/>
      <c r="D34" s="6"/>
      <c r="E34" s="6"/>
      <c r="F34" s="2">
        <v>15.851000000000001</v>
      </c>
      <c r="G34" s="3"/>
      <c r="H34" s="2"/>
      <c r="I34" s="2"/>
    </row>
    <row r="35" spans="1:9" x14ac:dyDescent="0.25">
      <c r="A35" s="4" t="s">
        <v>21</v>
      </c>
      <c r="B35" s="5">
        <v>5.0250000000000004</v>
      </c>
      <c r="C35" s="6"/>
      <c r="D35" s="5">
        <v>6.6849999999999996</v>
      </c>
      <c r="E35" s="6"/>
      <c r="F35" s="2">
        <v>6.7679999999999998</v>
      </c>
      <c r="G35" s="2"/>
      <c r="H35" s="2">
        <v>9.08</v>
      </c>
      <c r="I35" s="2"/>
    </row>
    <row r="36" spans="1:9" x14ac:dyDescent="0.25">
      <c r="A36" s="14" t="s">
        <v>6</v>
      </c>
    </row>
    <row r="37" spans="1:9" x14ac:dyDescent="0.25">
      <c r="A37" s="4" t="s">
        <v>20</v>
      </c>
      <c r="B37" s="5">
        <v>12.438000000000001</v>
      </c>
      <c r="C37" s="6"/>
      <c r="D37" s="6"/>
      <c r="E37" s="6"/>
      <c r="F37" s="2">
        <v>16.940000000000001</v>
      </c>
      <c r="G37" s="3"/>
      <c r="H37" s="2"/>
      <c r="I37" s="2"/>
    </row>
    <row r="38" spans="1:9" x14ac:dyDescent="0.25">
      <c r="A38" s="4" t="s">
        <v>21</v>
      </c>
      <c r="B38" s="5">
        <v>5.35</v>
      </c>
      <c r="C38" s="6"/>
      <c r="D38" s="6">
        <v>7.0880000000000001</v>
      </c>
      <c r="E38" s="6"/>
      <c r="F38" s="2">
        <v>7.34</v>
      </c>
      <c r="G38" s="2"/>
      <c r="H38" s="2">
        <v>9.6</v>
      </c>
      <c r="I38" s="2"/>
    </row>
    <row r="39" spans="1:9" x14ac:dyDescent="0.25">
      <c r="A39" s="14" t="s">
        <v>7</v>
      </c>
    </row>
    <row r="40" spans="1:9" x14ac:dyDescent="0.25">
      <c r="A40" s="4" t="s">
        <v>20</v>
      </c>
      <c r="B40" s="5">
        <v>10.95</v>
      </c>
      <c r="C40" s="6"/>
      <c r="D40" s="6"/>
      <c r="E40" s="6"/>
      <c r="F40" s="2">
        <v>15.154999999999999</v>
      </c>
      <c r="G40" s="3"/>
      <c r="H40" s="2"/>
      <c r="I40" s="2"/>
    </row>
    <row r="41" spans="1:9" x14ac:dyDescent="0.25">
      <c r="A41" s="4" t="s">
        <v>21</v>
      </c>
      <c r="B41" s="5">
        <v>4.1829999999999998</v>
      </c>
      <c r="C41" s="6"/>
      <c r="D41" s="6">
        <v>6.766</v>
      </c>
      <c r="E41" s="6"/>
      <c r="F41" s="2">
        <v>5.5819999999999999</v>
      </c>
      <c r="G41" s="2"/>
      <c r="H41" s="2">
        <v>9.57</v>
      </c>
      <c r="I41" s="2"/>
    </row>
    <row r="42" spans="1:9" x14ac:dyDescent="0.25">
      <c r="A42" s="14" t="s">
        <v>8</v>
      </c>
    </row>
    <row r="43" spans="1:9" x14ac:dyDescent="0.25">
      <c r="A43" s="4" t="s">
        <v>20</v>
      </c>
      <c r="B43" s="5">
        <v>12.725</v>
      </c>
      <c r="C43" s="6"/>
      <c r="D43" s="6"/>
      <c r="E43" s="6"/>
      <c r="F43" s="2">
        <v>17.2</v>
      </c>
      <c r="G43" s="3"/>
      <c r="H43" s="2"/>
      <c r="I43" s="2"/>
    </row>
    <row r="44" spans="1:9" x14ac:dyDescent="0.25">
      <c r="A44" s="4" t="s">
        <v>21</v>
      </c>
      <c r="B44" s="5">
        <v>5.4359999999999999</v>
      </c>
      <c r="C44" s="6"/>
      <c r="D44" s="6">
        <v>7.2889999999999997</v>
      </c>
      <c r="E44" s="6"/>
      <c r="F44" s="2">
        <v>7.4290000000000003</v>
      </c>
      <c r="G44" s="2"/>
      <c r="H44" s="2">
        <v>9.77</v>
      </c>
      <c r="I44" s="2"/>
    </row>
  </sheetData>
  <mergeCells count="6">
    <mergeCell ref="A1:I1"/>
    <mergeCell ref="B6:E6"/>
    <mergeCell ref="F6:I6"/>
    <mergeCell ref="A7:A8"/>
    <mergeCell ref="B7:E7"/>
    <mergeCell ref="F7:I7"/>
  </mergeCells>
  <pageMargins left="0.7" right="0.7" top="0.75" bottom="0.75" header="0.3" footer="0.3"/>
  <pageSetup paperSize="9" orientation="portrait" r:id="rId1"/>
  <headerFooter>
    <oddHeader>&amp;L&amp;"Calibri"&amp;9&amp;K000000Corporate&amp;1#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workbookViewId="0">
      <selection sqref="A1:XFD1048576"/>
    </sheetView>
  </sheetViews>
  <sheetFormatPr defaultRowHeight="15" outlineLevelRow="1" x14ac:dyDescent="0.25"/>
  <cols>
    <col min="1" max="1" width="29" customWidth="1"/>
    <col min="2" max="2" width="9.42578125" bestFit="1" customWidth="1"/>
    <col min="4" max="4" width="10.42578125" bestFit="1" customWidth="1"/>
  </cols>
  <sheetData>
    <row r="1" spans="1:9" ht="44.25" customHeight="1" x14ac:dyDescent="0.25">
      <c r="A1" s="17" t="s">
        <v>18</v>
      </c>
      <c r="B1" s="17"/>
      <c r="C1" s="17"/>
      <c r="D1" s="17"/>
      <c r="E1" s="17"/>
      <c r="F1" s="18"/>
      <c r="G1" s="18"/>
      <c r="H1" s="18"/>
      <c r="I1" s="18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  <c r="E3" s="1"/>
    </row>
    <row r="5" spans="1:9" x14ac:dyDescent="0.25">
      <c r="A5" t="s">
        <v>19</v>
      </c>
    </row>
    <row r="6" spans="1:9" x14ac:dyDescent="0.25">
      <c r="A6" s="8"/>
      <c r="B6" s="19" t="s">
        <v>16</v>
      </c>
      <c r="C6" s="19"/>
      <c r="D6" s="19"/>
      <c r="E6" s="19"/>
      <c r="F6" s="19" t="s">
        <v>0</v>
      </c>
      <c r="G6" s="19"/>
      <c r="H6" s="19"/>
      <c r="I6" s="19"/>
    </row>
    <row r="7" spans="1:9" x14ac:dyDescent="0.25">
      <c r="A7" s="20" t="s">
        <v>11</v>
      </c>
      <c r="B7" s="21" t="s">
        <v>9</v>
      </c>
      <c r="C7" s="21"/>
      <c r="D7" s="21"/>
      <c r="E7" s="21"/>
      <c r="F7" s="19" t="str">
        <f>B7</f>
        <v>Уровень напряжения</v>
      </c>
      <c r="G7" s="19"/>
      <c r="H7" s="19"/>
      <c r="I7" s="19"/>
    </row>
    <row r="8" spans="1:9" x14ac:dyDescent="0.25">
      <c r="A8" s="20"/>
      <c r="B8" s="9" t="s">
        <v>12</v>
      </c>
      <c r="C8" s="9" t="s">
        <v>13</v>
      </c>
      <c r="D8" s="9" t="s">
        <v>14</v>
      </c>
      <c r="E8" s="9" t="s">
        <v>15</v>
      </c>
      <c r="F8" s="10" t="str">
        <f>B8</f>
        <v>ВН</v>
      </c>
      <c r="G8" s="11" t="str">
        <f>C8</f>
        <v>СН</v>
      </c>
      <c r="H8" s="10" t="str">
        <f>D8</f>
        <v>СН II</v>
      </c>
      <c r="I8" s="10" t="str">
        <f>E8</f>
        <v>НН</v>
      </c>
    </row>
    <row r="9" spans="1:9" x14ac:dyDescent="0.25">
      <c r="A9" s="12" t="s">
        <v>10</v>
      </c>
      <c r="B9" s="9"/>
      <c r="C9" s="9"/>
      <c r="D9" s="9"/>
      <c r="E9" s="9"/>
      <c r="F9" s="10"/>
      <c r="G9" s="11"/>
      <c r="H9" s="10"/>
      <c r="I9" s="10"/>
    </row>
    <row r="10" spans="1:9" x14ac:dyDescent="0.25">
      <c r="A10" s="4" t="s">
        <v>20</v>
      </c>
      <c r="B10" s="5">
        <v>13.244999999999999</v>
      </c>
      <c r="C10" s="6"/>
      <c r="D10" s="6"/>
      <c r="E10" s="6" t="s">
        <v>17</v>
      </c>
      <c r="F10" s="2">
        <v>17.975356294117649</v>
      </c>
      <c r="G10" s="3"/>
      <c r="H10" s="2"/>
      <c r="I10" s="2"/>
    </row>
    <row r="11" spans="1:9" outlineLevel="1" x14ac:dyDescent="0.25">
      <c r="A11" s="4" t="s">
        <v>21</v>
      </c>
      <c r="B11" s="5">
        <v>5.8890000000000002</v>
      </c>
      <c r="C11" s="6"/>
      <c r="D11" s="6">
        <v>7.3150000000000004</v>
      </c>
      <c r="E11" s="6"/>
      <c r="F11" s="2">
        <v>7.915</v>
      </c>
      <c r="G11" s="2"/>
      <c r="H11" s="2">
        <v>10.108000000000001</v>
      </c>
      <c r="I11" s="2"/>
    </row>
    <row r="12" spans="1:9" x14ac:dyDescent="0.25">
      <c r="A12" s="13" t="s">
        <v>22</v>
      </c>
      <c r="G12" s="7"/>
    </row>
    <row r="13" spans="1:9" x14ac:dyDescent="0.25">
      <c r="A13" s="4" t="s">
        <v>20</v>
      </c>
      <c r="B13" s="5">
        <v>10.941000000000001</v>
      </c>
      <c r="C13" s="6"/>
      <c r="D13" s="6"/>
      <c r="E13" s="6" t="s">
        <v>17</v>
      </c>
      <c r="F13" s="2">
        <v>15.731999999999999</v>
      </c>
      <c r="G13" s="3"/>
      <c r="H13" s="2"/>
      <c r="I13" s="2"/>
    </row>
    <row r="14" spans="1:9" x14ac:dyDescent="0.25">
      <c r="A14" s="4" t="s">
        <v>21</v>
      </c>
      <c r="B14" s="5">
        <v>4.4050000000000002</v>
      </c>
      <c r="C14" s="6"/>
      <c r="D14" s="6">
        <v>6.5049999999999999</v>
      </c>
      <c r="E14" s="6"/>
      <c r="F14" s="2">
        <v>6.556</v>
      </c>
      <c r="G14" s="2"/>
      <c r="H14" s="2">
        <v>9.67</v>
      </c>
      <c r="I14" s="2"/>
    </row>
    <row r="15" spans="1:9" x14ac:dyDescent="0.25">
      <c r="A15" s="14" t="s">
        <v>23</v>
      </c>
    </row>
    <row r="16" spans="1:9" x14ac:dyDescent="0.25">
      <c r="A16" s="4" t="s">
        <v>20</v>
      </c>
      <c r="B16" s="5">
        <v>12.742000000000001</v>
      </c>
      <c r="C16" s="6"/>
      <c r="D16" s="6"/>
      <c r="E16" s="6" t="s">
        <v>17</v>
      </c>
      <c r="F16" s="2">
        <v>16.532</v>
      </c>
      <c r="G16" s="3"/>
      <c r="H16" s="2"/>
      <c r="I16" s="2"/>
    </row>
    <row r="17" spans="1:9" x14ac:dyDescent="0.25">
      <c r="A17" s="4" t="s">
        <v>21</v>
      </c>
      <c r="B17" s="5">
        <v>5.78</v>
      </c>
      <c r="C17" s="6"/>
      <c r="D17" s="6">
        <v>6.9219999999999997</v>
      </c>
      <c r="E17" s="6"/>
      <c r="F17" s="2">
        <v>7.77</v>
      </c>
      <c r="G17" s="2"/>
      <c r="H17" s="2">
        <v>9.1560000000000006</v>
      </c>
      <c r="I17" s="2"/>
    </row>
    <row r="18" spans="1:9" x14ac:dyDescent="0.25">
      <c r="A18" s="14" t="s">
        <v>24</v>
      </c>
    </row>
    <row r="19" spans="1:9" x14ac:dyDescent="0.25">
      <c r="A19" s="4" t="s">
        <v>20</v>
      </c>
      <c r="B19" s="5">
        <v>11.635999999999999</v>
      </c>
      <c r="C19" s="6"/>
      <c r="D19" s="6"/>
      <c r="E19" s="6" t="s">
        <v>17</v>
      </c>
      <c r="F19" s="2">
        <v>15.913</v>
      </c>
      <c r="G19" s="3"/>
      <c r="H19" s="2"/>
      <c r="I19" s="2"/>
    </row>
    <row r="20" spans="1:9" x14ac:dyDescent="0.25">
      <c r="A20" s="4" t="s">
        <v>21</v>
      </c>
      <c r="B20" s="5">
        <v>5.2969999999999997</v>
      </c>
      <c r="C20" s="6"/>
      <c r="D20" s="6">
        <v>6.3120000000000003</v>
      </c>
      <c r="E20" s="6"/>
      <c r="F20" s="2">
        <v>7.3579999999999997</v>
      </c>
      <c r="G20" s="2"/>
      <c r="H20" s="2">
        <v>8.641</v>
      </c>
      <c r="I20" s="2"/>
    </row>
    <row r="21" spans="1:9" x14ac:dyDescent="0.25">
      <c r="A21" s="14" t="s">
        <v>1</v>
      </c>
    </row>
    <row r="22" spans="1:9" x14ac:dyDescent="0.25">
      <c r="A22" s="4" t="s">
        <v>20</v>
      </c>
      <c r="B22" s="5">
        <v>13.196</v>
      </c>
      <c r="C22" s="6"/>
      <c r="D22" s="6"/>
      <c r="E22" s="6" t="s">
        <v>17</v>
      </c>
      <c r="F22" s="2">
        <v>17.725000000000001</v>
      </c>
      <c r="G22" s="3"/>
      <c r="H22" s="2"/>
      <c r="I22" s="2"/>
    </row>
    <row r="23" spans="1:9" x14ac:dyDescent="0.25">
      <c r="A23" s="4" t="s">
        <v>21</v>
      </c>
      <c r="B23" s="5">
        <v>6.1029999999999998</v>
      </c>
      <c r="C23" s="6"/>
      <c r="D23" s="6">
        <v>7.0609999999999999</v>
      </c>
      <c r="E23" s="6"/>
      <c r="F23" s="2">
        <v>8.2029999999999994</v>
      </c>
      <c r="G23" s="2"/>
      <c r="H23" s="2">
        <v>9.6229999999999993</v>
      </c>
      <c r="I23" s="2"/>
    </row>
    <row r="24" spans="1:9" x14ac:dyDescent="0.25">
      <c r="A24" s="14" t="s">
        <v>2</v>
      </c>
    </row>
    <row r="25" spans="1:9" x14ac:dyDescent="0.25">
      <c r="A25" s="4" t="s">
        <v>20</v>
      </c>
      <c r="B25" s="5">
        <v>12.222</v>
      </c>
      <c r="C25" s="6"/>
      <c r="D25" s="6"/>
      <c r="E25" s="6" t="s">
        <v>17</v>
      </c>
      <c r="F25" s="2">
        <v>17.350999999999999</v>
      </c>
      <c r="G25" s="3"/>
      <c r="H25" s="2"/>
      <c r="I25" s="2"/>
    </row>
    <row r="26" spans="1:9" x14ac:dyDescent="0.25">
      <c r="A26" s="4" t="s">
        <v>21</v>
      </c>
      <c r="B26" s="5">
        <v>5.46</v>
      </c>
      <c r="C26" s="6"/>
      <c r="D26" s="6">
        <v>6.7389999999999999</v>
      </c>
      <c r="E26" s="6"/>
      <c r="F26" s="2">
        <v>7.5839999999999996</v>
      </c>
      <c r="G26" s="2"/>
      <c r="H26" s="2">
        <v>9.5350000000000001</v>
      </c>
      <c r="I26" s="2"/>
    </row>
    <row r="27" spans="1:9" x14ac:dyDescent="0.25">
      <c r="A27" s="14" t="s">
        <v>3</v>
      </c>
    </row>
    <row r="28" spans="1:9" x14ac:dyDescent="0.25">
      <c r="A28" s="4" t="s">
        <v>20</v>
      </c>
      <c r="B28" s="5">
        <v>11.12</v>
      </c>
      <c r="C28" s="6"/>
      <c r="D28" s="6"/>
      <c r="E28" s="6" t="s">
        <v>17</v>
      </c>
      <c r="F28" s="2">
        <v>14.536</v>
      </c>
      <c r="G28" s="3"/>
      <c r="H28" s="2"/>
      <c r="I28" s="2"/>
    </row>
    <row r="29" spans="1:9" x14ac:dyDescent="0.25">
      <c r="A29" s="4" t="s">
        <v>21</v>
      </c>
      <c r="B29" s="5">
        <v>5.149</v>
      </c>
      <c r="C29" s="6"/>
      <c r="D29" s="6">
        <v>5.9509999999999996</v>
      </c>
      <c r="E29" s="6"/>
      <c r="F29" s="2">
        <v>6.9210000000000003</v>
      </c>
      <c r="G29" s="2"/>
      <c r="H29" s="2">
        <v>7.9139999999999997</v>
      </c>
      <c r="I29" s="2"/>
    </row>
    <row r="30" spans="1:9" x14ac:dyDescent="0.25">
      <c r="A30" s="14" t="s">
        <v>4</v>
      </c>
    </row>
    <row r="31" spans="1:9" x14ac:dyDescent="0.25">
      <c r="A31" s="4" t="s">
        <v>20</v>
      </c>
      <c r="B31" s="5">
        <v>12.214439538768</v>
      </c>
      <c r="C31" s="6"/>
      <c r="D31" s="6"/>
      <c r="E31" s="6" t="s">
        <v>17</v>
      </c>
      <c r="F31" s="2">
        <v>16.062999999999999</v>
      </c>
      <c r="G31" s="3"/>
      <c r="H31" s="2"/>
      <c r="I31" s="2"/>
    </row>
    <row r="32" spans="1:9" x14ac:dyDescent="0.25">
      <c r="A32" s="4" t="s">
        <v>21</v>
      </c>
      <c r="B32" s="5">
        <v>5.9089049999753804</v>
      </c>
      <c r="C32" s="6"/>
      <c r="D32" s="5">
        <v>6.2833711099999503</v>
      </c>
      <c r="E32" s="6"/>
      <c r="F32" s="2">
        <v>7.9420000000000002</v>
      </c>
      <c r="G32" s="2"/>
      <c r="H32" s="2">
        <v>8.3530000000000015</v>
      </c>
      <c r="I32" s="2"/>
    </row>
    <row r="33" spans="1:9" x14ac:dyDescent="0.25">
      <c r="A33" s="14" t="s">
        <v>5</v>
      </c>
    </row>
    <row r="34" spans="1:9" x14ac:dyDescent="0.25">
      <c r="A34" s="4" t="s">
        <v>20</v>
      </c>
      <c r="B34" s="5">
        <f>[9]СВОД!$F$3/1000</f>
        <v>11.62580432629801</v>
      </c>
      <c r="C34" s="6"/>
      <c r="D34" s="6"/>
      <c r="E34" s="6" t="s">
        <v>17</v>
      </c>
      <c r="F34" s="2">
        <f>'[9]свод цена'!$C$56</f>
        <v>15.496</v>
      </c>
      <c r="G34" s="3"/>
      <c r="H34" s="2"/>
      <c r="I34" s="2"/>
    </row>
    <row r="35" spans="1:9" x14ac:dyDescent="0.25">
      <c r="A35" s="4" t="s">
        <v>21</v>
      </c>
      <c r="B35" s="5">
        <f>[9]СВОД!$F$5/1000</f>
        <v>4.849747999977617</v>
      </c>
      <c r="C35" s="6"/>
      <c r="D35" s="5">
        <f>[9]СВОД!$F$6/1000</f>
        <v>6.7539317899999736</v>
      </c>
      <c r="E35" s="6"/>
      <c r="F35" s="2">
        <f>'[9]Агропродукт СН'!$C$14</f>
        <v>6.7359999999999998</v>
      </c>
      <c r="G35" s="2"/>
      <c r="H35" s="2">
        <v>9.298</v>
      </c>
      <c r="I35" s="2"/>
    </row>
    <row r="36" spans="1:9" x14ac:dyDescent="0.25">
      <c r="A36" s="14" t="s">
        <v>6</v>
      </c>
    </row>
    <row r="37" spans="1:9" x14ac:dyDescent="0.25">
      <c r="A37" s="4" t="s">
        <v>20</v>
      </c>
      <c r="B37" s="5">
        <v>12.75</v>
      </c>
      <c r="C37" s="6"/>
      <c r="D37" s="6"/>
      <c r="E37" s="6" t="s">
        <v>17</v>
      </c>
      <c r="F37" s="2">
        <v>17.2</v>
      </c>
      <c r="G37" s="3"/>
      <c r="H37" s="2"/>
      <c r="I37" s="2"/>
    </row>
    <row r="38" spans="1:9" x14ac:dyDescent="0.25">
      <c r="A38" s="4" t="s">
        <v>21</v>
      </c>
      <c r="B38" s="5">
        <v>5.84</v>
      </c>
      <c r="C38" s="6"/>
      <c r="D38" s="6">
        <v>6.88</v>
      </c>
      <c r="E38" s="6"/>
      <c r="F38" s="2">
        <v>7.85</v>
      </c>
      <c r="G38" s="2"/>
      <c r="H38" s="2">
        <v>9.34</v>
      </c>
      <c r="I38" s="2"/>
    </row>
    <row r="39" spans="1:9" x14ac:dyDescent="0.25">
      <c r="A39" s="14" t="s">
        <v>7</v>
      </c>
    </row>
    <row r="40" spans="1:9" x14ac:dyDescent="0.25">
      <c r="A40" s="4" t="s">
        <v>20</v>
      </c>
      <c r="B40" s="5">
        <v>12.491</v>
      </c>
      <c r="C40" s="6"/>
      <c r="D40" s="6"/>
      <c r="E40" s="6" t="s">
        <v>17</v>
      </c>
      <c r="F40" s="2">
        <v>17.37</v>
      </c>
      <c r="G40" s="3"/>
      <c r="H40" s="2"/>
      <c r="I40" s="2"/>
    </row>
    <row r="41" spans="1:9" x14ac:dyDescent="0.25">
      <c r="A41" s="4" t="s">
        <v>21</v>
      </c>
      <c r="B41" s="5">
        <v>5.6109999999999998</v>
      </c>
      <c r="C41" s="6"/>
      <c r="D41" s="6">
        <v>6.8449999999999998</v>
      </c>
      <c r="E41" s="6"/>
      <c r="F41" s="2">
        <v>7.79</v>
      </c>
      <c r="G41" s="2"/>
      <c r="H41" s="2">
        <v>9.57</v>
      </c>
      <c r="I41" s="2"/>
    </row>
    <row r="42" spans="1:9" x14ac:dyDescent="0.25">
      <c r="A42" s="14" t="s">
        <v>8</v>
      </c>
    </row>
    <row r="43" spans="1:9" x14ac:dyDescent="0.25">
      <c r="A43" s="4" t="s">
        <v>20</v>
      </c>
      <c r="B43" s="5">
        <v>12.422957234998348</v>
      </c>
      <c r="C43" s="6"/>
      <c r="D43" s="6"/>
      <c r="E43" s="6" t="s">
        <v>17</v>
      </c>
      <c r="F43" s="2">
        <v>16.711000000000002</v>
      </c>
      <c r="G43" s="3"/>
      <c r="H43" s="2"/>
      <c r="I43" s="2"/>
    </row>
    <row r="44" spans="1:9" x14ac:dyDescent="0.25">
      <c r="A44" s="4" t="s">
        <v>21</v>
      </c>
      <c r="B44" s="5">
        <v>5.7056265149984622</v>
      </c>
      <c r="C44" s="6"/>
      <c r="D44" s="6">
        <v>6.717330719999886</v>
      </c>
      <c r="E44" s="6"/>
      <c r="F44" s="2">
        <v>7.6689999999999996</v>
      </c>
      <c r="G44" s="2"/>
      <c r="H44" s="2">
        <v>9.0420000000000016</v>
      </c>
      <c r="I44" s="2"/>
    </row>
  </sheetData>
  <mergeCells count="6">
    <mergeCell ref="F7:I7"/>
    <mergeCell ref="B6:E6"/>
    <mergeCell ref="F6:I6"/>
    <mergeCell ref="A1:I1"/>
    <mergeCell ref="A7:A8"/>
    <mergeCell ref="B7:E7"/>
  </mergeCells>
  <pageMargins left="0.7" right="0.7" top="0.75" bottom="0.75" header="0.3" footer="0.3"/>
  <pageSetup orientation="landscape" r:id="rId1"/>
  <headerFooter>
    <oddHeader>&amp;L&amp;"Calibri"&amp;9&amp;K000000Corporate&amp;1#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6" workbookViewId="0">
      <selection activeCell="D19" sqref="D19"/>
    </sheetView>
  </sheetViews>
  <sheetFormatPr defaultRowHeight="15" outlineLevelRow="1" x14ac:dyDescent="0.25"/>
  <cols>
    <col min="1" max="1" width="29" customWidth="1"/>
    <col min="2" max="2" width="9.42578125" bestFit="1" customWidth="1"/>
    <col min="4" max="4" width="11.42578125" bestFit="1" customWidth="1"/>
  </cols>
  <sheetData>
    <row r="1" spans="1:9" ht="44.25" customHeight="1" x14ac:dyDescent="0.25">
      <c r="A1" s="17" t="s">
        <v>18</v>
      </c>
      <c r="B1" s="17"/>
      <c r="C1" s="17"/>
      <c r="D1" s="17"/>
      <c r="E1" s="17"/>
      <c r="F1" s="18"/>
      <c r="G1" s="18"/>
      <c r="H1" s="18"/>
      <c r="I1" s="18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  <c r="E3" s="1"/>
    </row>
    <row r="5" spans="1:9" x14ac:dyDescent="0.25">
      <c r="A5" t="s">
        <v>25</v>
      </c>
    </row>
    <row r="6" spans="1:9" x14ac:dyDescent="0.25">
      <c r="A6" s="8"/>
      <c r="B6" s="19" t="s">
        <v>16</v>
      </c>
      <c r="C6" s="19"/>
      <c r="D6" s="19"/>
      <c r="E6" s="19"/>
      <c r="F6" s="19" t="s">
        <v>0</v>
      </c>
      <c r="G6" s="19"/>
      <c r="H6" s="19"/>
      <c r="I6" s="19"/>
    </row>
    <row r="7" spans="1:9" x14ac:dyDescent="0.25">
      <c r="A7" s="20" t="s">
        <v>11</v>
      </c>
      <c r="B7" s="21" t="s">
        <v>9</v>
      </c>
      <c r="C7" s="21"/>
      <c r="D7" s="21"/>
      <c r="E7" s="21"/>
      <c r="F7" s="19" t="str">
        <f>B7</f>
        <v>Уровень напряжения</v>
      </c>
      <c r="G7" s="19"/>
      <c r="H7" s="19"/>
      <c r="I7" s="19"/>
    </row>
    <row r="8" spans="1:9" x14ac:dyDescent="0.25">
      <c r="A8" s="20"/>
      <c r="B8" s="9" t="s">
        <v>12</v>
      </c>
      <c r="C8" s="9" t="s">
        <v>13</v>
      </c>
      <c r="D8" s="9" t="s">
        <v>14</v>
      </c>
      <c r="E8" s="9" t="s">
        <v>15</v>
      </c>
      <c r="F8" s="10" t="str">
        <f>B8</f>
        <v>ВН</v>
      </c>
      <c r="G8" s="11" t="str">
        <f>C8</f>
        <v>СН</v>
      </c>
      <c r="H8" s="10" t="str">
        <f>D8</f>
        <v>СН II</v>
      </c>
      <c r="I8" s="10" t="str">
        <f>E8</f>
        <v>НН</v>
      </c>
    </row>
    <row r="9" spans="1:9" x14ac:dyDescent="0.25">
      <c r="A9" s="12" t="s">
        <v>10</v>
      </c>
      <c r="B9" s="9"/>
      <c r="C9" s="9"/>
      <c r="D9" s="9"/>
      <c r="E9" s="9"/>
      <c r="F9" s="10"/>
      <c r="G9" s="11"/>
      <c r="H9" s="10"/>
      <c r="I9" s="10"/>
    </row>
    <row r="10" spans="1:9" x14ac:dyDescent="0.25">
      <c r="A10" s="4" t="s">
        <v>20</v>
      </c>
      <c r="B10" s="5">
        <f>B11+D11</f>
        <v>13.777000000000001</v>
      </c>
      <c r="C10" s="6"/>
      <c r="D10" s="6"/>
      <c r="E10" s="6" t="s">
        <v>17</v>
      </c>
      <c r="F10" s="2">
        <v>18.878</v>
      </c>
      <c r="G10" s="3"/>
      <c r="H10" s="2"/>
      <c r="I10" s="2"/>
    </row>
    <row r="11" spans="1:9" outlineLevel="1" x14ac:dyDescent="0.25">
      <c r="A11" s="4" t="s">
        <v>21</v>
      </c>
      <c r="B11" s="5">
        <v>5.9130000000000003</v>
      </c>
      <c r="C11" s="6"/>
      <c r="D11" s="6">
        <v>7.8639999999999999</v>
      </c>
      <c r="E11" s="6"/>
      <c r="F11" s="2">
        <v>7.9480000000000004</v>
      </c>
      <c r="G11" s="2"/>
      <c r="H11" s="15">
        <v>10.925000000000001</v>
      </c>
      <c r="I11" s="2"/>
    </row>
    <row r="12" spans="1:9" x14ac:dyDescent="0.25">
      <c r="A12" s="13" t="s">
        <v>22</v>
      </c>
      <c r="G12" s="7"/>
    </row>
    <row r="13" spans="1:9" x14ac:dyDescent="0.25">
      <c r="A13" s="4" t="s">
        <v>20</v>
      </c>
      <c r="B13" s="5">
        <f>B14+D14</f>
        <v>11.606939499159962</v>
      </c>
      <c r="C13" s="6"/>
      <c r="D13" s="6"/>
      <c r="E13" s="6" t="s">
        <v>17</v>
      </c>
      <c r="F13" s="2">
        <v>17.283000000000001</v>
      </c>
      <c r="G13" s="3"/>
      <c r="H13" s="2"/>
      <c r="I13" s="2"/>
    </row>
    <row r="14" spans="1:9" x14ac:dyDescent="0.25">
      <c r="A14" s="4" t="s">
        <v>21</v>
      </c>
      <c r="B14" s="5">
        <f>'[10]2018'!$F$8/1000</f>
        <v>4.8919638297599626</v>
      </c>
      <c r="C14" s="6"/>
      <c r="D14" s="5">
        <f>('[10]2018'!$F$9+'[10]2018'!$F$10+'[10]2018'!$F$11)/1000</f>
        <v>6.7149756693999993</v>
      </c>
      <c r="E14" s="6"/>
      <c r="F14" s="2">
        <v>7.28</v>
      </c>
      <c r="G14" s="2"/>
      <c r="H14" s="15">
        <v>10.161000000000001</v>
      </c>
      <c r="I14" s="2"/>
    </row>
    <row r="15" spans="1:9" x14ac:dyDescent="0.25">
      <c r="A15" s="14" t="s">
        <v>23</v>
      </c>
    </row>
    <row r="16" spans="1:9" x14ac:dyDescent="0.25">
      <c r="A16" s="4" t="s">
        <v>20</v>
      </c>
      <c r="B16" s="5">
        <f>B17+D17</f>
        <v>12.807449099655628</v>
      </c>
      <c r="C16" s="6"/>
      <c r="D16" s="6"/>
      <c r="E16" s="6" t="s">
        <v>17</v>
      </c>
      <c r="F16" s="2">
        <v>17.361999999999998</v>
      </c>
      <c r="G16" s="3"/>
      <c r="H16" s="2"/>
      <c r="I16" s="2"/>
    </row>
    <row r="17" spans="1:9" x14ac:dyDescent="0.25">
      <c r="A17" s="4" t="s">
        <v>21</v>
      </c>
      <c r="B17" s="5">
        <f>'[10]2018'!$G$8/1000</f>
        <v>5.0768272499756941</v>
      </c>
      <c r="C17" s="6"/>
      <c r="D17" s="5">
        <f>('[10]2018'!$G$9+'[10]2018'!$G$10+'[10]2018'!$G$11)/1000</f>
        <v>7.7306218496799328</v>
      </c>
      <c r="E17" s="6"/>
      <c r="F17" s="2">
        <v>6.8239999999999998</v>
      </c>
      <c r="G17" s="2"/>
      <c r="H17" s="15">
        <v>10.576000000000001</v>
      </c>
      <c r="I17" s="2"/>
    </row>
    <row r="18" spans="1:9" x14ac:dyDescent="0.25">
      <c r="A18" s="14" t="s">
        <v>24</v>
      </c>
    </row>
    <row r="19" spans="1:9" x14ac:dyDescent="0.25">
      <c r="A19" s="4" t="s">
        <v>20</v>
      </c>
      <c r="B19" s="5">
        <f>B20+D20</f>
        <v>11.963183454991935</v>
      </c>
      <c r="C19" s="6"/>
      <c r="D19" s="6"/>
      <c r="E19" s="6" t="s">
        <v>17</v>
      </c>
      <c r="F19" s="2">
        <v>16.471</v>
      </c>
      <c r="G19" s="3"/>
      <c r="H19" s="2"/>
      <c r="I19" s="2"/>
    </row>
    <row r="20" spans="1:9" x14ac:dyDescent="0.25">
      <c r="A20" s="4" t="s">
        <v>21</v>
      </c>
      <c r="B20" s="5">
        <f>'[10]2018'!$H$8/1000</f>
        <v>5.2821742949999519</v>
      </c>
      <c r="C20" s="6"/>
      <c r="D20" s="5">
        <f>('[10]2018'!$H$9+'[10]2018'!$H$10+'[10]2018'!$H$11)/1000</f>
        <v>6.6810091599919819</v>
      </c>
      <c r="E20" s="6"/>
      <c r="F20" s="2">
        <v>7.3360000000000003</v>
      </c>
      <c r="G20" s="2"/>
      <c r="H20" s="15">
        <v>9.218</v>
      </c>
      <c r="I20" s="2"/>
    </row>
    <row r="21" spans="1:9" x14ac:dyDescent="0.25">
      <c r="A21" s="14" t="s">
        <v>1</v>
      </c>
    </row>
    <row r="22" spans="1:9" x14ac:dyDescent="0.25">
      <c r="A22" s="4" t="s">
        <v>20</v>
      </c>
      <c r="B22" s="5">
        <f>B23+D23</f>
        <v>13.288661069968644</v>
      </c>
      <c r="C22" s="6"/>
      <c r="D22" s="6"/>
      <c r="E22" s="6" t="s">
        <v>17</v>
      </c>
      <c r="F22" s="2">
        <v>17.989999999999998</v>
      </c>
      <c r="G22" s="3"/>
      <c r="H22" s="2"/>
      <c r="I22" s="2"/>
    </row>
    <row r="23" spans="1:9" x14ac:dyDescent="0.25">
      <c r="A23" s="4" t="s">
        <v>21</v>
      </c>
      <c r="B23" s="5">
        <f>'[10]2018'!$I$8/1000</f>
        <v>5.8875717149687103</v>
      </c>
      <c r="C23" s="6"/>
      <c r="D23" s="5">
        <f>('[10]2018'!$I$9+'[10]2018'!$I$10+'[10]2018'!$I$11)/1000</f>
        <v>7.4010893549999341</v>
      </c>
      <c r="E23" s="6"/>
      <c r="F23" s="2">
        <v>7.9130000000000003</v>
      </c>
      <c r="G23" s="2"/>
      <c r="H23" s="15">
        <v>9.9189999999999987</v>
      </c>
      <c r="I23" s="2"/>
    </row>
    <row r="24" spans="1:9" x14ac:dyDescent="0.25">
      <c r="A24" s="14" t="s">
        <v>2</v>
      </c>
    </row>
    <row r="25" spans="1:9" x14ac:dyDescent="0.25">
      <c r="A25" s="4" t="s">
        <v>20</v>
      </c>
      <c r="B25" s="5">
        <f>B26+D26</f>
        <v>12.790216169994466</v>
      </c>
      <c r="C25" s="6"/>
      <c r="D25" s="6"/>
      <c r="E25" s="6" t="s">
        <v>17</v>
      </c>
      <c r="F25" s="2">
        <v>17.806000000000001</v>
      </c>
      <c r="G25" s="3"/>
      <c r="H25" s="2"/>
      <c r="I25" s="2"/>
    </row>
    <row r="26" spans="1:9" x14ac:dyDescent="0.25">
      <c r="A26" s="4" t="s">
        <v>21</v>
      </c>
      <c r="B26" s="5">
        <f>'[10]2018'!$J$8/1000</f>
        <v>5.6797192199952695</v>
      </c>
      <c r="C26" s="6"/>
      <c r="D26" s="5">
        <f>('[10]2018'!$J$9+'[10]2018'!$J$10+'[10]2018'!$J$11)/1000</f>
        <v>7.110496949999197</v>
      </c>
      <c r="E26" s="6"/>
      <c r="F26" s="2">
        <v>7.8879999999999999</v>
      </c>
      <c r="G26" s="2"/>
      <c r="H26" s="15">
        <v>9.9220000000000006</v>
      </c>
      <c r="I26" s="2"/>
    </row>
    <row r="27" spans="1:9" x14ac:dyDescent="0.25">
      <c r="A27" s="14" t="s">
        <v>3</v>
      </c>
    </row>
    <row r="28" spans="1:9" x14ac:dyDescent="0.25">
      <c r="A28" s="4" t="s">
        <v>20</v>
      </c>
      <c r="B28" s="5">
        <f>B29+D29</f>
        <v>12.489899226158343</v>
      </c>
      <c r="C28" s="6"/>
      <c r="D28" s="6"/>
      <c r="E28" s="6" t="s">
        <v>17</v>
      </c>
      <c r="F28" s="2">
        <v>16.837</v>
      </c>
      <c r="G28" s="3"/>
      <c r="H28" s="2"/>
      <c r="I28" s="2"/>
    </row>
    <row r="29" spans="1:9" x14ac:dyDescent="0.25">
      <c r="A29" s="4" t="s">
        <v>21</v>
      </c>
      <c r="B29" s="5">
        <f>'[10]2018'!$K$8/1000</f>
        <v>5.9438112229917142</v>
      </c>
      <c r="C29" s="6"/>
      <c r="D29" s="5">
        <f>('[10]2018'!$K$9+'[10]2018'!$K$10+'[10]2018'!$K$11)/1000</f>
        <v>6.5460880031666298</v>
      </c>
      <c r="E29" s="6"/>
      <c r="F29" s="2">
        <v>7.9889999999999999</v>
      </c>
      <c r="G29" s="2"/>
      <c r="H29" s="15">
        <v>8.9719999999999995</v>
      </c>
      <c r="I29" s="2"/>
    </row>
    <row r="30" spans="1:9" x14ac:dyDescent="0.25">
      <c r="A30" s="14" t="s">
        <v>4</v>
      </c>
    </row>
    <row r="31" spans="1:9" x14ac:dyDescent="0.25">
      <c r="A31" s="4" t="s">
        <v>20</v>
      </c>
      <c r="B31" s="5">
        <f>B32+D32</f>
        <v>11.516995842985212</v>
      </c>
      <c r="C31" s="6"/>
      <c r="D31" s="6"/>
      <c r="E31" s="6" t="s">
        <v>17</v>
      </c>
      <c r="F31" s="2">
        <v>15.335000000000001</v>
      </c>
      <c r="G31" s="3"/>
      <c r="H31" s="2"/>
      <c r="I31" s="2"/>
    </row>
    <row r="32" spans="1:9" x14ac:dyDescent="0.25">
      <c r="A32" s="4" t="s">
        <v>21</v>
      </c>
      <c r="B32" s="5">
        <f>'[10]2018'!$L$8/1000</f>
        <v>5.4121728679855883</v>
      </c>
      <c r="C32" s="6"/>
      <c r="D32" s="5">
        <f>('[10]2018'!$L$9+'[10]2018'!$L$10+'[10]2018'!$L$11)/1000</f>
        <v>6.1048229749996237</v>
      </c>
      <c r="E32" s="6"/>
      <c r="F32" s="2">
        <v>7.274</v>
      </c>
      <c r="G32" s="2"/>
      <c r="H32" s="15">
        <v>8.3929999999999989</v>
      </c>
      <c r="I32" s="2"/>
    </row>
    <row r="33" spans="1:9" x14ac:dyDescent="0.25">
      <c r="A33" s="14" t="s">
        <v>5</v>
      </c>
    </row>
    <row r="34" spans="1:9" x14ac:dyDescent="0.25">
      <c r="A34" s="4" t="s">
        <v>20</v>
      </c>
      <c r="B34" s="5">
        <f>B35+D35</f>
        <v>11.686240940994136</v>
      </c>
      <c r="C34" s="6"/>
      <c r="D34" s="6"/>
      <c r="E34" s="6" t="s">
        <v>17</v>
      </c>
      <c r="F34" s="2">
        <v>15.965999999999999</v>
      </c>
      <c r="G34" s="3"/>
      <c r="H34" s="2"/>
      <c r="I34" s="2"/>
    </row>
    <row r="35" spans="1:9" x14ac:dyDescent="0.25">
      <c r="A35" s="4" t="s">
        <v>21</v>
      </c>
      <c r="B35" s="5">
        <f>'[10]2018'!$M$8/1000</f>
        <v>4.7618712359999682</v>
      </c>
      <c r="C35" s="6"/>
      <c r="D35" s="5">
        <f>('[10]2018'!$M$9+'[10]2018'!$M$10+'[10]2018'!$M$11)/1000</f>
        <v>6.9243697049941666</v>
      </c>
      <c r="E35" s="6"/>
      <c r="F35" s="2">
        <v>6.6139999999999999</v>
      </c>
      <c r="G35" s="2"/>
      <c r="H35" s="15">
        <v>9.4820000000000011</v>
      </c>
      <c r="I35" s="2"/>
    </row>
    <row r="36" spans="1:9" x14ac:dyDescent="0.25">
      <c r="A36" s="14" t="s">
        <v>6</v>
      </c>
    </row>
    <row r="37" spans="1:9" x14ac:dyDescent="0.25">
      <c r="A37" s="4" t="s">
        <v>20</v>
      </c>
      <c r="B37" s="5">
        <f>B38+D38</f>
        <v>13.180131704999651</v>
      </c>
      <c r="C37" s="6"/>
      <c r="D37" s="6"/>
      <c r="E37" s="6" t="s">
        <v>17</v>
      </c>
      <c r="F37" s="2">
        <v>18.062999999999999</v>
      </c>
      <c r="G37" s="3"/>
      <c r="H37" s="2"/>
      <c r="I37" s="2"/>
    </row>
    <row r="38" spans="1:9" x14ac:dyDescent="0.25">
      <c r="A38" s="4" t="s">
        <v>21</v>
      </c>
      <c r="B38" s="5">
        <f>'[10]2018'!$N$8/1000</f>
        <v>5.766370604999957</v>
      </c>
      <c r="C38" s="6"/>
      <c r="D38" s="5">
        <f>('[10]2018'!$N$9+'[10]2018'!$N$10+'[10]2018'!$N$11)/1000</f>
        <v>7.4137610999996939</v>
      </c>
      <c r="E38" s="6"/>
      <c r="F38" s="2">
        <v>7.75</v>
      </c>
      <c r="G38" s="2"/>
      <c r="H38" s="2">
        <v>10.117000000000001</v>
      </c>
      <c r="I38" s="2"/>
    </row>
    <row r="39" spans="1:9" x14ac:dyDescent="0.25">
      <c r="A39" s="14" t="s">
        <v>7</v>
      </c>
    </row>
    <row r="40" spans="1:9" x14ac:dyDescent="0.25">
      <c r="A40" s="4" t="s">
        <v>20</v>
      </c>
      <c r="B40" s="5">
        <v>11.731</v>
      </c>
      <c r="C40" s="6"/>
      <c r="D40" s="6"/>
      <c r="E40" s="6" t="s">
        <v>17</v>
      </c>
      <c r="F40" s="2">
        <v>16.212</v>
      </c>
      <c r="G40" s="3"/>
      <c r="H40" s="2"/>
      <c r="I40" s="2"/>
    </row>
    <row r="41" spans="1:9" x14ac:dyDescent="0.25">
      <c r="A41" s="4" t="s">
        <v>21</v>
      </c>
      <c r="B41" s="5">
        <v>5.4550000000000001</v>
      </c>
      <c r="C41" s="6"/>
      <c r="D41" s="6">
        <v>6.2370000000000001</v>
      </c>
      <c r="E41" s="6"/>
      <c r="F41" s="2">
        <v>7.577</v>
      </c>
      <c r="G41" s="2"/>
      <c r="H41" s="2">
        <v>8.7089999999999996</v>
      </c>
      <c r="I41" s="2"/>
    </row>
    <row r="42" spans="1:9" x14ac:dyDescent="0.25">
      <c r="A42" s="14" t="s">
        <v>8</v>
      </c>
    </row>
    <row r="43" spans="1:9" x14ac:dyDescent="0.25">
      <c r="A43" s="4" t="s">
        <v>20</v>
      </c>
      <c r="B43" s="5">
        <v>12.952</v>
      </c>
      <c r="C43" s="6"/>
      <c r="D43" s="6"/>
      <c r="E43" s="6" t="s">
        <v>17</v>
      </c>
      <c r="F43" s="2">
        <v>17.253</v>
      </c>
      <c r="G43" s="3"/>
      <c r="H43" s="2"/>
      <c r="I43" s="2"/>
    </row>
    <row r="44" spans="1:9" x14ac:dyDescent="0.25">
      <c r="A44" s="4" t="s">
        <v>21</v>
      </c>
      <c r="B44" s="5">
        <v>5.1070000000000002</v>
      </c>
      <c r="C44" s="6"/>
      <c r="D44" s="6">
        <v>7.8049999999999997</v>
      </c>
      <c r="E44" s="6"/>
      <c r="F44" s="2">
        <v>6.8650000000000002</v>
      </c>
      <c r="G44" s="2"/>
      <c r="H44" s="2">
        <v>10.548999999999999</v>
      </c>
      <c r="I44" s="2"/>
    </row>
  </sheetData>
  <mergeCells count="6">
    <mergeCell ref="A1:I1"/>
    <mergeCell ref="B6:E6"/>
    <mergeCell ref="F6:I6"/>
    <mergeCell ref="A7:A8"/>
    <mergeCell ref="B7:E7"/>
    <mergeCell ref="F7:I7"/>
  </mergeCells>
  <pageMargins left="0.7" right="0.7" top="0.75" bottom="0.75" header="0.3" footer="0.3"/>
  <pageSetup orientation="portrait" r:id="rId1"/>
  <headerFooter>
    <oddHeader>&amp;L&amp;"Calibri"&amp;9&amp;K000000Corporate&amp;1#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>
      <selection activeCell="F44" sqref="F44"/>
    </sheetView>
  </sheetViews>
  <sheetFormatPr defaultRowHeight="15" outlineLevelRow="1" x14ac:dyDescent="0.25"/>
  <cols>
    <col min="1" max="1" width="29" customWidth="1"/>
  </cols>
  <sheetData>
    <row r="1" spans="1:9" ht="44.25" customHeight="1" x14ac:dyDescent="0.25">
      <c r="A1" s="17" t="s">
        <v>18</v>
      </c>
      <c r="B1" s="17"/>
      <c r="C1" s="17"/>
      <c r="D1" s="17"/>
      <c r="E1" s="17"/>
      <c r="F1" s="18"/>
      <c r="G1" s="18"/>
      <c r="H1" s="18"/>
      <c r="I1" s="18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  <c r="E3" s="1"/>
    </row>
    <row r="5" spans="1:9" x14ac:dyDescent="0.25">
      <c r="A5" t="s">
        <v>26</v>
      </c>
    </row>
    <row r="6" spans="1:9" x14ac:dyDescent="0.25">
      <c r="A6" s="8"/>
      <c r="B6" s="19" t="s">
        <v>16</v>
      </c>
      <c r="C6" s="19"/>
      <c r="D6" s="19"/>
      <c r="E6" s="19"/>
      <c r="F6" s="19" t="s">
        <v>0</v>
      </c>
      <c r="G6" s="19"/>
      <c r="H6" s="19"/>
      <c r="I6" s="19"/>
    </row>
    <row r="7" spans="1:9" x14ac:dyDescent="0.25">
      <c r="A7" s="20" t="s">
        <v>11</v>
      </c>
      <c r="B7" s="21" t="s">
        <v>9</v>
      </c>
      <c r="C7" s="21"/>
      <c r="D7" s="21"/>
      <c r="E7" s="21"/>
      <c r="F7" s="19" t="str">
        <f>B7</f>
        <v>Уровень напряжения</v>
      </c>
      <c r="G7" s="19"/>
      <c r="H7" s="19"/>
      <c r="I7" s="19"/>
    </row>
    <row r="8" spans="1:9" x14ac:dyDescent="0.25">
      <c r="A8" s="20"/>
      <c r="B8" s="9" t="s">
        <v>12</v>
      </c>
      <c r="C8" s="9" t="s">
        <v>13</v>
      </c>
      <c r="D8" s="9" t="s">
        <v>14</v>
      </c>
      <c r="E8" s="9" t="s">
        <v>15</v>
      </c>
      <c r="F8" s="10" t="str">
        <f>B8</f>
        <v>ВН</v>
      </c>
      <c r="G8" s="11" t="str">
        <f>C8</f>
        <v>СН</v>
      </c>
      <c r="H8" s="10" t="str">
        <f>D8</f>
        <v>СН II</v>
      </c>
      <c r="I8" s="10" t="str">
        <f>E8</f>
        <v>НН</v>
      </c>
    </row>
    <row r="9" spans="1:9" x14ac:dyDescent="0.25">
      <c r="A9" s="12" t="s">
        <v>10</v>
      </c>
      <c r="B9" s="9"/>
      <c r="C9" s="9"/>
      <c r="D9" s="9"/>
      <c r="E9" s="9"/>
      <c r="F9" s="10"/>
      <c r="G9" s="11"/>
      <c r="H9" s="10"/>
      <c r="I9" s="10"/>
    </row>
    <row r="10" spans="1:9" x14ac:dyDescent="0.25">
      <c r="A10" s="4" t="s">
        <v>20</v>
      </c>
      <c r="B10" s="5">
        <f>B11+D11</f>
        <v>11.34</v>
      </c>
      <c r="C10" s="6"/>
      <c r="D10" s="6"/>
      <c r="E10" s="6" t="s">
        <v>17</v>
      </c>
      <c r="F10" s="2">
        <f>[11]Агропродукт!$C$11</f>
        <v>14.939</v>
      </c>
      <c r="G10" s="3"/>
      <c r="H10" s="2"/>
      <c r="I10" s="2"/>
    </row>
    <row r="11" spans="1:9" outlineLevel="1" x14ac:dyDescent="0.25">
      <c r="A11" s="4" t="s">
        <v>21</v>
      </c>
      <c r="B11" s="5">
        <v>4.3730000000000002</v>
      </c>
      <c r="C11" s="6"/>
      <c r="D11" s="6">
        <v>6.9669999999999996</v>
      </c>
      <c r="E11" s="6"/>
      <c r="F11" s="15">
        <f>'[11]Агропродукт СН'!$C$14</f>
        <v>5.8769999999999998</v>
      </c>
      <c r="G11" s="2"/>
      <c r="H11" s="15">
        <f>('[12]16_ЛукОйл'!$B$3+'[12]16_СОЯ'!$B$3+'[12]16_Терминал'!$B$3)/1000</f>
        <v>10.003</v>
      </c>
      <c r="I11" s="2"/>
    </row>
    <row r="12" spans="1:9" x14ac:dyDescent="0.25">
      <c r="A12" s="13" t="s">
        <v>22</v>
      </c>
      <c r="G12" s="7"/>
    </row>
    <row r="13" spans="1:9" x14ac:dyDescent="0.25">
      <c r="A13" s="4" t="s">
        <v>20</v>
      </c>
      <c r="B13" s="5">
        <f>B14+D14</f>
        <v>10.324</v>
      </c>
      <c r="C13" s="6"/>
      <c r="D13" s="6"/>
      <c r="E13" s="6" t="s">
        <v>17</v>
      </c>
      <c r="F13" s="2">
        <f>[13]Агропродукт!$C$11</f>
        <v>15.292</v>
      </c>
      <c r="G13" s="3"/>
      <c r="H13" s="2"/>
      <c r="I13" s="2"/>
    </row>
    <row r="14" spans="1:9" x14ac:dyDescent="0.25">
      <c r="A14" s="4" t="s">
        <v>21</v>
      </c>
      <c r="B14" s="5">
        <v>4.0830000000000002</v>
      </c>
      <c r="C14" s="6"/>
      <c r="D14" s="6">
        <v>6.2409999999999997</v>
      </c>
      <c r="E14" s="6"/>
      <c r="F14" s="15">
        <f>'[13]Агропродукт СН'!$C$14</f>
        <v>6.0759999999999996</v>
      </c>
      <c r="G14" s="2"/>
      <c r="H14" s="15">
        <f>('[12]16_ЛукОйл'!$B$10+'[12]16_СОЯ'!$B$10+'[12]16_Терминал'!$B$10)/1000</f>
        <v>9.15</v>
      </c>
      <c r="I14" s="2"/>
    </row>
    <row r="15" spans="1:9" x14ac:dyDescent="0.25">
      <c r="A15" s="14" t="s">
        <v>23</v>
      </c>
    </row>
    <row r="16" spans="1:9" x14ac:dyDescent="0.25">
      <c r="A16" s="4" t="s">
        <v>20</v>
      </c>
      <c r="B16" s="5">
        <f>B17+D17</f>
        <v>13.273</v>
      </c>
      <c r="C16" s="6"/>
      <c r="D16" s="6"/>
      <c r="E16" s="6" t="s">
        <v>17</v>
      </c>
      <c r="F16" s="2">
        <f>[14]Агропродукт!$C$11</f>
        <v>17.527999999999999</v>
      </c>
      <c r="G16" s="3"/>
      <c r="H16" s="2"/>
      <c r="I16" s="2"/>
    </row>
    <row r="17" spans="1:9" x14ac:dyDescent="0.25">
      <c r="A17" s="4" t="s">
        <v>21</v>
      </c>
      <c r="B17" s="5">
        <v>5.8170000000000002</v>
      </c>
      <c r="C17" s="6"/>
      <c r="D17" s="6">
        <v>7.4560000000000004</v>
      </c>
      <c r="E17" s="6"/>
      <c r="F17" s="15">
        <f>'[14]Агропродукт СН'!$C$14</f>
        <v>7.819</v>
      </c>
      <c r="G17" s="2"/>
      <c r="H17" s="2">
        <f>('[12]16_ЛукОйл'!$B$16+'[12]16_СОЯ'!$B$16+'[12]16_Терминал'!$B$16)/1000</f>
        <v>9.984</v>
      </c>
      <c r="I17" s="2"/>
    </row>
    <row r="18" spans="1:9" x14ac:dyDescent="0.25">
      <c r="A18" s="14" t="s">
        <v>24</v>
      </c>
    </row>
    <row r="19" spans="1:9" x14ac:dyDescent="0.25">
      <c r="A19" s="4" t="s">
        <v>20</v>
      </c>
      <c r="B19" s="5">
        <f>B20+D20</f>
        <v>11.698</v>
      </c>
      <c r="C19" s="6"/>
      <c r="D19" s="6"/>
      <c r="E19" s="6" t="s">
        <v>17</v>
      </c>
      <c r="F19" s="2">
        <f>[15]Агропродукт!$C$11</f>
        <v>15.817600000000001</v>
      </c>
      <c r="G19" s="3"/>
      <c r="H19" s="2"/>
      <c r="I19" s="2"/>
    </row>
    <row r="20" spans="1:9" x14ac:dyDescent="0.25">
      <c r="A20" s="4" t="s">
        <v>21</v>
      </c>
      <c r="B20" s="5">
        <v>5.5910000000000002</v>
      </c>
      <c r="C20" s="6"/>
      <c r="D20" s="6">
        <v>6.1070000000000002</v>
      </c>
      <c r="E20" s="6"/>
      <c r="F20" s="15">
        <f>'[15]Агропродукт СН'!$C$14</f>
        <v>7.7649999999999997</v>
      </c>
      <c r="G20" s="2"/>
      <c r="H20" s="2">
        <f>('[12]16_ЛукОйл'!$B$22+'[12]16_СОЯ'!$B$22+'[12]16_Терминал'!$B$22)/1000</f>
        <v>8.3109999999999999</v>
      </c>
      <c r="I20" s="2"/>
    </row>
    <row r="21" spans="1:9" x14ac:dyDescent="0.25">
      <c r="A21" s="14" t="s">
        <v>1</v>
      </c>
    </row>
    <row r="22" spans="1:9" x14ac:dyDescent="0.25">
      <c r="A22" s="4" t="s">
        <v>20</v>
      </c>
      <c r="B22" s="5">
        <f>B23+D23</f>
        <v>13.007</v>
      </c>
      <c r="C22" s="6"/>
      <c r="D22" s="6"/>
      <c r="E22" s="6" t="s">
        <v>17</v>
      </c>
      <c r="F22" s="2">
        <f>[16]Агропродукт!$C$11</f>
        <v>17.414000000000001</v>
      </c>
      <c r="G22" s="3"/>
      <c r="H22" s="2"/>
      <c r="I22" s="2"/>
    </row>
    <row r="23" spans="1:9" x14ac:dyDescent="0.25">
      <c r="A23" s="4" t="s">
        <v>21</v>
      </c>
      <c r="B23" s="5">
        <v>5.7709999999999999</v>
      </c>
      <c r="C23" s="6"/>
      <c r="D23" s="6">
        <v>7.2359999999999998</v>
      </c>
      <c r="E23" s="6"/>
      <c r="F23" s="15">
        <f>'[16]Агропродукт СН'!$C$14</f>
        <v>7.7560000000000002</v>
      </c>
      <c r="G23" s="2"/>
      <c r="H23" s="2">
        <f>('[12]16_ЛукОйл'!$B$28+'[12]16_СОЯ'!$B$28+'[12]16_Терминал'!$B$28)/1000</f>
        <v>9.6159999999999997</v>
      </c>
      <c r="I23" s="2"/>
    </row>
    <row r="24" spans="1:9" x14ac:dyDescent="0.25">
      <c r="A24" s="14" t="s">
        <v>2</v>
      </c>
    </row>
    <row r="25" spans="1:9" x14ac:dyDescent="0.25">
      <c r="A25" s="4" t="s">
        <v>20</v>
      </c>
      <c r="B25" s="5">
        <f>B26+D26</f>
        <v>12.364000000000001</v>
      </c>
      <c r="C25" s="6"/>
      <c r="D25" s="6"/>
      <c r="E25" s="6" t="s">
        <v>17</v>
      </c>
      <c r="F25" s="2">
        <f>[17]Агропродукт!$C$11</f>
        <v>17.091000000000001</v>
      </c>
      <c r="G25" s="3"/>
      <c r="H25" s="2"/>
      <c r="I25" s="2"/>
    </row>
    <row r="26" spans="1:9" x14ac:dyDescent="0.25">
      <c r="A26" s="4" t="s">
        <v>21</v>
      </c>
      <c r="B26" s="5">
        <v>5.3810000000000002</v>
      </c>
      <c r="C26" s="6"/>
      <c r="D26" s="6">
        <v>6.9829999999999997</v>
      </c>
      <c r="E26" s="6"/>
      <c r="F26" s="15">
        <f>'[17]Агропродукт СН'!$C$14</f>
        <v>7.4729999999999999</v>
      </c>
      <c r="G26" s="2"/>
      <c r="H26" s="2">
        <f>('[12]16_ЛукОйл'!$B$35+'[12]16_СОЯ'!$B$35+'[12]16_Терминал'!$B$34)/1000</f>
        <v>9.7509999999999994</v>
      </c>
      <c r="I26" s="2"/>
    </row>
    <row r="27" spans="1:9" x14ac:dyDescent="0.25">
      <c r="A27" s="14" t="s">
        <v>3</v>
      </c>
    </row>
    <row r="28" spans="1:9" x14ac:dyDescent="0.25">
      <c r="A28" s="4" t="s">
        <v>20</v>
      </c>
      <c r="B28" s="5">
        <f>B29+D29</f>
        <v>11.16</v>
      </c>
      <c r="C28" s="6"/>
      <c r="D28" s="6"/>
      <c r="E28" s="6" t="s">
        <v>17</v>
      </c>
      <c r="F28" s="2">
        <f>[18]Агропродукт!$C$11</f>
        <v>15.122999999999999</v>
      </c>
      <c r="G28" s="3"/>
      <c r="H28" s="2"/>
      <c r="I28" s="2"/>
    </row>
    <row r="29" spans="1:9" x14ac:dyDescent="0.25">
      <c r="A29" s="4" t="s">
        <v>21</v>
      </c>
      <c r="B29" s="5">
        <v>4.2830000000000004</v>
      </c>
      <c r="C29" s="6"/>
      <c r="D29" s="6">
        <v>6.8769999999999998</v>
      </c>
      <c r="E29" s="6"/>
      <c r="F29" s="15">
        <f>'[18]Агропродукт СН'!$C$14</f>
        <v>5.7569999999999997</v>
      </c>
      <c r="G29" s="2"/>
      <c r="H29" s="2">
        <f>('[12]16_ЛукОйл'!$B$42+'[12]16_СОЯ'!$B$42+'[12]16_Терминал'!$B$41)/1000</f>
        <v>9.4380000000000006</v>
      </c>
      <c r="I29" s="2"/>
    </row>
    <row r="30" spans="1:9" x14ac:dyDescent="0.25">
      <c r="A30" s="14" t="s">
        <v>4</v>
      </c>
    </row>
    <row r="31" spans="1:9" x14ac:dyDescent="0.25">
      <c r="A31" s="4" t="s">
        <v>20</v>
      </c>
      <c r="B31" s="5">
        <f>B32+D32</f>
        <v>11.125999999999999</v>
      </c>
      <c r="C31" s="6"/>
      <c r="D31" s="6"/>
      <c r="E31" s="6" t="s">
        <v>17</v>
      </c>
      <c r="F31" s="2">
        <f>[19]Агропродукт!$C$11</f>
        <v>15.231</v>
      </c>
      <c r="G31" s="3"/>
      <c r="H31" s="2"/>
      <c r="I31" s="2"/>
    </row>
    <row r="32" spans="1:9" x14ac:dyDescent="0.25">
      <c r="A32" s="4" t="s">
        <v>21</v>
      </c>
      <c r="B32" s="5">
        <v>5.4509999999999996</v>
      </c>
      <c r="C32" s="6"/>
      <c r="D32" s="6">
        <v>5.6749999999999998</v>
      </c>
      <c r="E32" s="6"/>
      <c r="F32" s="15">
        <f>'[19]Агропродукт СН'!$C$14</f>
        <v>7.327</v>
      </c>
      <c r="G32" s="2"/>
      <c r="H32" s="2">
        <f>('[12]16_ЛукОйл'!$B$48+'[12]16_СОЯ'!$B$49+'[12]16_Терминал'!$B$48)/1000</f>
        <v>7.5990000000000002</v>
      </c>
      <c r="I32" s="2"/>
    </row>
    <row r="33" spans="1:9" x14ac:dyDescent="0.25">
      <c r="A33" s="14" t="s">
        <v>5</v>
      </c>
    </row>
    <row r="34" spans="1:9" x14ac:dyDescent="0.25">
      <c r="A34" s="4" t="s">
        <v>20</v>
      </c>
      <c r="B34" s="5">
        <v>11.477</v>
      </c>
      <c r="C34" s="6"/>
      <c r="D34" s="6"/>
      <c r="E34" s="6" t="s">
        <v>17</v>
      </c>
      <c r="F34" s="2">
        <f>[20]Агропродукт!$C$11</f>
        <v>15.337999999999999</v>
      </c>
      <c r="G34" s="3"/>
      <c r="H34" s="2"/>
      <c r="I34" s="2"/>
    </row>
    <row r="35" spans="1:9" x14ac:dyDescent="0.25">
      <c r="A35" s="4" t="s">
        <v>21</v>
      </c>
      <c r="B35" s="5">
        <v>4.6820000000000004</v>
      </c>
      <c r="C35" s="6"/>
      <c r="D35" s="6">
        <v>6.7720000000000002</v>
      </c>
      <c r="E35" s="6"/>
      <c r="F35" s="15">
        <f>'[20]Агропродукт СН'!$C$14</f>
        <v>6.5030000000000001</v>
      </c>
      <c r="G35" s="2"/>
      <c r="H35" s="2">
        <f>('[12]16_ЛукОйл'!$B$54+'[12]16_СОЯ'!$B$55+'[12]16_Терминал'!$B$55)/1000</f>
        <v>9.2680000000000007</v>
      </c>
      <c r="I35" s="2"/>
    </row>
    <row r="36" spans="1:9" x14ac:dyDescent="0.25">
      <c r="A36" s="14" t="s">
        <v>6</v>
      </c>
    </row>
    <row r="37" spans="1:9" x14ac:dyDescent="0.25">
      <c r="A37" s="4" t="s">
        <v>20</v>
      </c>
      <c r="B37" s="5">
        <f>B38+D38</f>
        <v>12.84</v>
      </c>
      <c r="C37" s="6"/>
      <c r="D37" s="6"/>
      <c r="E37" s="6" t="s">
        <v>17</v>
      </c>
      <c r="F37" s="2">
        <f>[21]Агропродукт!$C$11</f>
        <v>17.655999999999999</v>
      </c>
      <c r="G37" s="3"/>
      <c r="H37" s="2"/>
      <c r="I37" s="2"/>
    </row>
    <row r="38" spans="1:9" x14ac:dyDescent="0.25">
      <c r="A38" s="4" t="s">
        <v>21</v>
      </c>
      <c r="B38" s="5">
        <v>5.5579999999999998</v>
      </c>
      <c r="C38" s="6"/>
      <c r="D38" s="6">
        <v>7.282</v>
      </c>
      <c r="E38" s="6"/>
      <c r="F38" s="15">
        <f>'[21]Агропродукт СН'!$C$14</f>
        <v>7.47</v>
      </c>
      <c r="G38" s="2"/>
      <c r="H38" s="2">
        <f>('[12]16_ЛукОйл'!$B$60+'[12]16_СОЯ'!$B$61+'[12]16_Терминал'!$B$62)/1000</f>
        <v>10.023</v>
      </c>
      <c r="I38" s="2"/>
    </row>
    <row r="39" spans="1:9" x14ac:dyDescent="0.25">
      <c r="A39" s="14" t="s">
        <v>7</v>
      </c>
    </row>
    <row r="40" spans="1:9" x14ac:dyDescent="0.25">
      <c r="A40" s="4" t="s">
        <v>20</v>
      </c>
      <c r="B40" s="5">
        <f>B41+D41</f>
        <v>12.084</v>
      </c>
      <c r="C40" s="6"/>
      <c r="D40" s="6"/>
      <c r="E40" s="6" t="s">
        <v>17</v>
      </c>
      <c r="F40" s="2">
        <f>[22]Агропродукт!$C$31</f>
        <v>16.777000000000001</v>
      </c>
      <c r="G40" s="3"/>
      <c r="H40" s="2"/>
      <c r="I40" s="2"/>
    </row>
    <row r="41" spans="1:9" x14ac:dyDescent="0.25">
      <c r="A41" s="4" t="s">
        <v>21</v>
      </c>
      <c r="B41" s="5">
        <v>5.2409999999999997</v>
      </c>
      <c r="C41" s="6"/>
      <c r="D41" s="6">
        <v>6.843</v>
      </c>
      <c r="E41" s="6"/>
      <c r="F41" s="15">
        <f>'[22]Агропродукт СН'!$C$14</f>
        <v>7.2779999999999996</v>
      </c>
      <c r="G41" s="2"/>
      <c r="H41" s="2">
        <f>('[12]16_ЛукОйл'!$B$66+'[12]16_СОЯ'!$B$67+'[12]16_Терминал'!$B$68)/1000</f>
        <v>9.35</v>
      </c>
      <c r="I41" s="2"/>
    </row>
    <row r="42" spans="1:9" x14ac:dyDescent="0.25">
      <c r="A42" s="14" t="s">
        <v>8</v>
      </c>
    </row>
    <row r="43" spans="1:9" x14ac:dyDescent="0.25">
      <c r="A43" s="4" t="s">
        <v>20</v>
      </c>
      <c r="B43" s="5">
        <f>B44+D44</f>
        <v>13.478999999999999</v>
      </c>
      <c r="C43" s="6"/>
      <c r="D43" s="6"/>
      <c r="E43" s="6" t="s">
        <v>17</v>
      </c>
      <c r="F43" s="2">
        <f>[23]Агропродукт!$C$11</f>
        <v>18.245000000000001</v>
      </c>
      <c r="G43" s="3"/>
      <c r="H43" s="2"/>
      <c r="I43" s="2"/>
    </row>
    <row r="44" spans="1:9" x14ac:dyDescent="0.25">
      <c r="A44" s="4" t="s">
        <v>21</v>
      </c>
      <c r="B44" s="5">
        <v>5.7489999999999997</v>
      </c>
      <c r="C44" s="6"/>
      <c r="D44" s="6">
        <v>7.73</v>
      </c>
      <c r="E44" s="6"/>
      <c r="F44" s="15">
        <f>'[23]Агропродукт СН'!$C$14</f>
        <v>7.7270000000000003</v>
      </c>
      <c r="G44" s="2"/>
      <c r="H44" s="2">
        <f>('[12]16_ЛукОйл'!$B$72+'[12]16_СОЯ'!$B$73+'[12]16_Терминал'!$B$74)/1000</f>
        <v>10.436999999999999</v>
      </c>
      <c r="I44" s="2"/>
    </row>
  </sheetData>
  <mergeCells count="6">
    <mergeCell ref="A1:I1"/>
    <mergeCell ref="B6:E6"/>
    <mergeCell ref="F6:I6"/>
    <mergeCell ref="A7:A8"/>
    <mergeCell ref="B7:E7"/>
    <mergeCell ref="F7:I7"/>
  </mergeCells>
  <pageMargins left="0.7" right="0.7" top="0.75" bottom="0.75" header="0.3" footer="0.3"/>
  <pageSetup orientation="portrait" r:id="rId1"/>
  <headerFooter>
    <oddHeader>&amp;L&amp;"Calibri"&amp;9&amp;K000000Corporate&amp;1#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workbookViewId="0">
      <selection activeCell="B45" sqref="B45"/>
    </sheetView>
  </sheetViews>
  <sheetFormatPr defaultRowHeight="15" outlineLevelRow="1" x14ac:dyDescent="0.25"/>
  <cols>
    <col min="1" max="1" width="29" customWidth="1"/>
    <col min="8" max="8" width="10.28515625" bestFit="1" customWidth="1"/>
  </cols>
  <sheetData>
    <row r="1" spans="1:9" ht="44.25" customHeight="1" x14ac:dyDescent="0.25">
      <c r="A1" s="17" t="s">
        <v>18</v>
      </c>
      <c r="B1" s="17"/>
      <c r="C1" s="17"/>
      <c r="D1" s="17"/>
      <c r="E1" s="17"/>
      <c r="F1" s="18"/>
      <c r="G1" s="18"/>
      <c r="H1" s="18"/>
      <c r="I1" s="18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  <c r="E3" s="1"/>
    </row>
    <row r="5" spans="1:9" x14ac:dyDescent="0.25">
      <c r="A5" t="s">
        <v>27</v>
      </c>
    </row>
    <row r="6" spans="1:9" x14ac:dyDescent="0.25">
      <c r="A6" s="8"/>
      <c r="B6" s="19" t="s">
        <v>16</v>
      </c>
      <c r="C6" s="19"/>
      <c r="D6" s="19"/>
      <c r="E6" s="19"/>
      <c r="F6" s="19" t="s">
        <v>0</v>
      </c>
      <c r="G6" s="19"/>
      <c r="H6" s="19"/>
      <c r="I6" s="19"/>
    </row>
    <row r="7" spans="1:9" x14ac:dyDescent="0.25">
      <c r="A7" s="20" t="s">
        <v>11</v>
      </c>
      <c r="B7" s="21" t="s">
        <v>9</v>
      </c>
      <c r="C7" s="21"/>
      <c r="D7" s="21"/>
      <c r="E7" s="21"/>
      <c r="F7" s="19" t="str">
        <f>B7</f>
        <v>Уровень напряжения</v>
      </c>
      <c r="G7" s="19"/>
      <c r="H7" s="19"/>
      <c r="I7" s="19"/>
    </row>
    <row r="8" spans="1:9" x14ac:dyDescent="0.25">
      <c r="A8" s="20"/>
      <c r="B8" s="9" t="s">
        <v>12</v>
      </c>
      <c r="C8" s="9" t="s">
        <v>13</v>
      </c>
      <c r="D8" s="9" t="s">
        <v>14</v>
      </c>
      <c r="E8" s="9" t="s">
        <v>15</v>
      </c>
      <c r="F8" s="10" t="str">
        <f>B8</f>
        <v>ВН</v>
      </c>
      <c r="G8" s="11" t="str">
        <f>C8</f>
        <v>СН</v>
      </c>
      <c r="H8" s="10" t="str">
        <f>D8</f>
        <v>СН II</v>
      </c>
      <c r="I8" s="10" t="str">
        <f>E8</f>
        <v>НН</v>
      </c>
    </row>
    <row r="9" spans="1:9" x14ac:dyDescent="0.25">
      <c r="A9" s="12" t="s">
        <v>10</v>
      </c>
      <c r="B9" s="9"/>
      <c r="C9" s="9"/>
      <c r="D9" s="9"/>
      <c r="E9" s="9"/>
      <c r="F9" s="10"/>
      <c r="G9" s="11"/>
      <c r="H9" s="10"/>
      <c r="I9" s="10"/>
    </row>
    <row r="10" spans="1:9" x14ac:dyDescent="0.25">
      <c r="A10" s="4" t="s">
        <v>20</v>
      </c>
      <c r="B10" s="5">
        <f>B11+D11</f>
        <v>12.762</v>
      </c>
      <c r="C10" s="6"/>
      <c r="D10" s="6"/>
      <c r="E10" s="6" t="s">
        <v>17</v>
      </c>
      <c r="F10" s="2">
        <f>[24]Агропродукт!$C$51</f>
        <v>16.701000000000001</v>
      </c>
      <c r="G10" s="3"/>
      <c r="H10" s="2"/>
      <c r="I10" s="2"/>
    </row>
    <row r="11" spans="1:9" outlineLevel="1" x14ac:dyDescent="0.25">
      <c r="A11" s="4" t="s">
        <v>21</v>
      </c>
      <c r="B11" s="5">
        <v>6.6150000000000002</v>
      </c>
      <c r="C11" s="6"/>
      <c r="D11" s="6">
        <v>6.1470000000000002</v>
      </c>
      <c r="E11" s="6"/>
      <c r="F11" s="2">
        <f>'[24]Агропродукт СН'!$C$51</f>
        <v>8.8919999999999995</v>
      </c>
      <c r="G11" s="2"/>
      <c r="H11" s="2">
        <f>('[25]16_ЛукОйл'!$B$3+'[25]16_СОЯ'!$B$3+'[25]16_Терминал'!$B$3)/1000</f>
        <v>7.9640000000000004</v>
      </c>
      <c r="I11" s="2"/>
    </row>
    <row r="12" spans="1:9" x14ac:dyDescent="0.25">
      <c r="A12" s="13" t="s">
        <v>22</v>
      </c>
      <c r="G12" s="7"/>
    </row>
    <row r="13" spans="1:9" x14ac:dyDescent="0.25">
      <c r="A13" s="4" t="s">
        <v>20</v>
      </c>
      <c r="B13" s="5">
        <f>B14+D14</f>
        <v>10.919</v>
      </c>
      <c r="C13" s="6"/>
      <c r="D13" s="6"/>
      <c r="E13" s="6" t="s">
        <v>17</v>
      </c>
      <c r="F13" s="2">
        <f>[26]Агропродукт!$C$51</f>
        <v>16.029</v>
      </c>
      <c r="G13" s="3"/>
      <c r="H13" s="2"/>
      <c r="I13" s="2"/>
    </row>
    <row r="14" spans="1:9" x14ac:dyDescent="0.25">
      <c r="A14" s="4" t="s">
        <v>21</v>
      </c>
      <c r="B14" s="5">
        <v>4.9630000000000001</v>
      </c>
      <c r="C14" s="6"/>
      <c r="D14" s="6">
        <v>5.9560000000000004</v>
      </c>
      <c r="E14" s="6"/>
      <c r="F14" s="2">
        <f>'[26]Агропродукт СН'!$C$51</f>
        <v>7.1310000000000002</v>
      </c>
      <c r="G14" s="2"/>
      <c r="H14" s="2">
        <f>('[25]16_ЛукОйл'!$B$10+'[25]16_СОЯ'!$B$10+'[25]16_Терминал'!$B$10)/1000</f>
        <v>8.7940000000000005</v>
      </c>
      <c r="I14" s="2"/>
    </row>
    <row r="15" spans="1:9" x14ac:dyDescent="0.25">
      <c r="A15" s="14" t="s">
        <v>23</v>
      </c>
    </row>
    <row r="16" spans="1:9" x14ac:dyDescent="0.25">
      <c r="A16" s="4" t="s">
        <v>20</v>
      </c>
      <c r="B16" s="5">
        <f>B17+D17</f>
        <v>12.298999999999999</v>
      </c>
      <c r="C16" s="6"/>
      <c r="D16" s="6"/>
      <c r="E16" s="6" t="s">
        <v>17</v>
      </c>
      <c r="F16" s="2">
        <f>[27]Агропродукт!$C$51</f>
        <v>9.6989999999999998</v>
      </c>
      <c r="G16" s="3"/>
      <c r="H16" s="2"/>
      <c r="I16" s="2"/>
    </row>
    <row r="17" spans="1:9" x14ac:dyDescent="0.25">
      <c r="A17" s="4" t="s">
        <v>21</v>
      </c>
      <c r="B17" s="5">
        <v>6.1779999999999999</v>
      </c>
      <c r="C17" s="6"/>
      <c r="D17" s="6">
        <v>6.1210000000000004</v>
      </c>
      <c r="E17" s="6"/>
      <c r="F17" s="2">
        <f>'[27]Агропродукт СН'!$C$51</f>
        <v>8.8919999999999995</v>
      </c>
      <c r="G17" s="2"/>
      <c r="H17" s="2">
        <f>('[25]16_ЛукОйл'!$B$16+'[25]16_СОЯ'!$B$16+'[25]16_Терминал'!$B$16)/1000</f>
        <v>8.1280000000000001</v>
      </c>
      <c r="I17" s="2"/>
    </row>
    <row r="18" spans="1:9" x14ac:dyDescent="0.25">
      <c r="A18" s="14" t="s">
        <v>24</v>
      </c>
    </row>
    <row r="19" spans="1:9" x14ac:dyDescent="0.25">
      <c r="A19" s="4" t="s">
        <v>20</v>
      </c>
      <c r="B19" s="5">
        <f>B20+D20</f>
        <v>11.792999999999999</v>
      </c>
      <c r="C19" s="6"/>
      <c r="D19" s="6"/>
      <c r="E19" s="6" t="s">
        <v>17</v>
      </c>
      <c r="F19" s="2">
        <f>[28]Агропродукт!$C$51</f>
        <v>16.277999999999999</v>
      </c>
      <c r="G19" s="3"/>
      <c r="H19" s="2"/>
      <c r="I19" s="2"/>
    </row>
    <row r="20" spans="1:9" x14ac:dyDescent="0.25">
      <c r="A20" s="4" t="s">
        <v>21</v>
      </c>
      <c r="B20" s="5">
        <v>6.2539999999999996</v>
      </c>
      <c r="C20" s="6"/>
      <c r="D20" s="6">
        <v>5.5389999999999997</v>
      </c>
      <c r="E20" s="6"/>
      <c r="F20" s="2">
        <f>'[28]Агропродукт СН'!$C$51</f>
        <v>8.6850000000000005</v>
      </c>
      <c r="G20" s="2"/>
      <c r="H20" s="2">
        <f>('[25]16_ЛукОйл'!$B$22+'[25]16_СОЯ'!$B$22+'[25]16_Терминал'!$B$22)/1000</f>
        <v>7.6079999999999997</v>
      </c>
      <c r="I20" s="2"/>
    </row>
    <row r="21" spans="1:9" x14ac:dyDescent="0.25">
      <c r="A21" s="14" t="s">
        <v>1</v>
      </c>
    </row>
    <row r="22" spans="1:9" x14ac:dyDescent="0.25">
      <c r="A22" s="4" t="s">
        <v>20</v>
      </c>
      <c r="B22" s="5">
        <f>B23+D23</f>
        <v>12.627000000000001</v>
      </c>
      <c r="C22" s="6"/>
      <c r="D22" s="6"/>
      <c r="E22" s="6" t="s">
        <v>17</v>
      </c>
      <c r="F22" s="2">
        <f>[29]Агропродукт!$C$51</f>
        <v>16.792999999999999</v>
      </c>
      <c r="G22" s="3"/>
      <c r="H22" s="2"/>
      <c r="I22" s="2"/>
    </row>
    <row r="23" spans="1:9" x14ac:dyDescent="0.25">
      <c r="A23" s="4" t="s">
        <v>21</v>
      </c>
      <c r="B23" s="5">
        <v>6.5970000000000004</v>
      </c>
      <c r="C23" s="6"/>
      <c r="D23" s="6">
        <v>6.03</v>
      </c>
      <c r="E23" s="6"/>
      <c r="F23" s="2">
        <f>'[29]Агропродукт СН'!$C$51</f>
        <v>8.8670000000000009</v>
      </c>
      <c r="G23" s="2"/>
      <c r="H23" s="2">
        <f>('[25]16_ЛукОйл'!$B$28+'[25]16_СОЯ'!$B$28+'[25]16_Терминал'!$B$28)/1000</f>
        <v>7.9130000000000003</v>
      </c>
      <c r="I23" s="2"/>
    </row>
    <row r="24" spans="1:9" x14ac:dyDescent="0.25">
      <c r="A24" s="14" t="s">
        <v>2</v>
      </c>
    </row>
    <row r="25" spans="1:9" x14ac:dyDescent="0.25">
      <c r="A25" s="4" t="s">
        <v>20</v>
      </c>
      <c r="B25" s="5">
        <f>B26+D26</f>
        <v>12.082999999999998</v>
      </c>
      <c r="C25" s="6"/>
      <c r="D25" s="6"/>
      <c r="E25" s="6" t="s">
        <v>17</v>
      </c>
      <c r="F25" s="2">
        <f>[30]Агропродукт!$C$51</f>
        <v>16.783999999999999</v>
      </c>
      <c r="G25" s="3"/>
      <c r="H25" s="2"/>
      <c r="I25" s="2"/>
    </row>
    <row r="26" spans="1:9" x14ac:dyDescent="0.25">
      <c r="A26" s="4" t="s">
        <v>21</v>
      </c>
      <c r="B26" s="5">
        <v>6.2619999999999996</v>
      </c>
      <c r="C26" s="6"/>
      <c r="D26" s="6">
        <v>5.8209999999999997</v>
      </c>
      <c r="E26" s="6"/>
      <c r="F26" s="2">
        <f>'[30]Агропродукт СН'!$C$51</f>
        <v>8.6969999999999992</v>
      </c>
      <c r="G26" s="2"/>
      <c r="H26" s="2">
        <f>('[25]16_ЛукОйл'!$B$35+'[25]16_СОЯ'!$B$35+'[25]16_Терминал'!$B$34)/1000</f>
        <v>8.1750000000000007</v>
      </c>
      <c r="I26" s="2"/>
    </row>
    <row r="27" spans="1:9" x14ac:dyDescent="0.25">
      <c r="A27" s="14" t="s">
        <v>3</v>
      </c>
    </row>
    <row r="28" spans="1:9" x14ac:dyDescent="0.25">
      <c r="A28" s="4" t="s">
        <v>20</v>
      </c>
      <c r="B28" s="5">
        <f>B29+D29</f>
        <v>10.464</v>
      </c>
      <c r="C28" s="6"/>
      <c r="D28" s="6"/>
      <c r="E28" s="6" t="s">
        <v>17</v>
      </c>
      <c r="F28" s="2">
        <f>[31]Агропродукт!$C$81</f>
        <v>14.212</v>
      </c>
      <c r="G28" s="3"/>
      <c r="H28" s="2"/>
      <c r="I28" s="2"/>
    </row>
    <row r="29" spans="1:9" x14ac:dyDescent="0.25">
      <c r="A29" s="4" t="s">
        <v>21</v>
      </c>
      <c r="B29" s="5">
        <v>4.8230000000000004</v>
      </c>
      <c r="C29" s="6"/>
      <c r="D29" s="6">
        <v>5.641</v>
      </c>
      <c r="E29" s="6"/>
      <c r="F29" s="15">
        <f>'[31]Агропродукт СН'!$C$14</f>
        <v>6.4829999999999997</v>
      </c>
      <c r="G29" s="2"/>
      <c r="H29" s="2">
        <f>('[25]16_ЛукОйл'!$B$42+'[25]16_СОЯ'!$B$42+'[25]16_Терминал'!$B$41)/1000</f>
        <v>7.6509999999999998</v>
      </c>
      <c r="I29" s="2"/>
    </row>
    <row r="30" spans="1:9" x14ac:dyDescent="0.25">
      <c r="A30" s="14" t="s">
        <v>4</v>
      </c>
    </row>
    <row r="31" spans="1:9" x14ac:dyDescent="0.25">
      <c r="A31" s="4" t="s">
        <v>20</v>
      </c>
      <c r="B31" s="5">
        <f>B32+D32</f>
        <v>11.876000000000001</v>
      </c>
      <c r="C31" s="6"/>
      <c r="D31" s="6"/>
      <c r="E31" s="6" t="s">
        <v>17</v>
      </c>
      <c r="F31" s="2">
        <f>[32]Агропродукт!$C$31</f>
        <v>15.657</v>
      </c>
      <c r="G31" s="3"/>
      <c r="H31" s="2"/>
      <c r="I31" s="2"/>
    </row>
    <row r="32" spans="1:9" x14ac:dyDescent="0.25">
      <c r="A32" s="4" t="s">
        <v>21</v>
      </c>
      <c r="B32" s="5">
        <v>6.593</v>
      </c>
      <c r="C32" s="6"/>
      <c r="D32" s="6">
        <v>5.2830000000000004</v>
      </c>
      <c r="E32" s="6"/>
      <c r="F32" s="15">
        <f>'[32]Агропродукт СН'!$C$14</f>
        <v>8.8629999999999995</v>
      </c>
      <c r="G32" s="2"/>
      <c r="H32" s="2">
        <f>('[25]16_ЛукОйл'!$B$48+'[25]16_СОЯ'!$B$49+'[25]16_Терминал'!$B$48)/1000</f>
        <v>7.02</v>
      </c>
      <c r="I32" s="2"/>
    </row>
    <row r="33" spans="1:9" x14ac:dyDescent="0.25">
      <c r="A33" s="14" t="s">
        <v>5</v>
      </c>
    </row>
    <row r="34" spans="1:9" x14ac:dyDescent="0.25">
      <c r="A34" s="4" t="s">
        <v>20</v>
      </c>
      <c r="B34" s="5">
        <f>B35+D35</f>
        <v>12.295999999999999</v>
      </c>
      <c r="C34" s="6"/>
      <c r="D34" s="6"/>
      <c r="E34" s="6" t="s">
        <v>17</v>
      </c>
      <c r="F34" s="2">
        <f>[33]Агропродукт!$C$31</f>
        <v>16.849</v>
      </c>
      <c r="G34" s="3"/>
      <c r="H34" s="2"/>
      <c r="I34" s="2"/>
    </row>
    <row r="35" spans="1:9" x14ac:dyDescent="0.25">
      <c r="A35" s="4" t="s">
        <v>21</v>
      </c>
      <c r="B35" s="5">
        <v>6.5419999999999998</v>
      </c>
      <c r="C35" s="6"/>
      <c r="D35" s="6">
        <v>5.7539999999999996</v>
      </c>
      <c r="E35" s="6"/>
      <c r="F35" s="15">
        <f>'[33]Агропродукт СН'!$C$14</f>
        <v>9.0860000000000003</v>
      </c>
      <c r="G35" s="2"/>
      <c r="H35" s="2">
        <f>('[25]16_ЛукОйл'!$B$54+'[25]16_СОЯ'!$B$55+'[25]16_Терминал'!$B$55)/1000</f>
        <v>8.1280000000000001</v>
      </c>
      <c r="I35" s="2"/>
    </row>
    <row r="36" spans="1:9" x14ac:dyDescent="0.25">
      <c r="A36" s="14" t="s">
        <v>6</v>
      </c>
    </row>
    <row r="37" spans="1:9" x14ac:dyDescent="0.25">
      <c r="A37" s="4" t="s">
        <v>20</v>
      </c>
      <c r="B37" s="5">
        <f>B38+D38</f>
        <v>12.524000000000001</v>
      </c>
      <c r="C37" s="6"/>
      <c r="D37" s="6"/>
      <c r="E37" s="6" t="s">
        <v>17</v>
      </c>
      <c r="F37" s="2">
        <f>[34]Агропродукт!$C$31</f>
        <v>16.759</v>
      </c>
      <c r="G37" s="3"/>
      <c r="H37" s="2"/>
      <c r="I37" s="2"/>
    </row>
    <row r="38" spans="1:9" x14ac:dyDescent="0.25">
      <c r="A38" s="4" t="s">
        <v>21</v>
      </c>
      <c r="B38" s="5">
        <v>6.6260000000000003</v>
      </c>
      <c r="C38" s="6"/>
      <c r="D38" s="6">
        <v>5.8979999999999997</v>
      </c>
      <c r="E38" s="6"/>
      <c r="F38" s="15">
        <f>'[34]Агропродукт СН'!$C$14</f>
        <v>8.9049999999999994</v>
      </c>
      <c r="G38" s="2"/>
      <c r="H38" s="2">
        <f>('[25]16_ЛукОйл'!$B$60+'[25]16_СОЯ'!$B$61+'[25]16_Терминал'!$B$62)/1000</f>
        <v>8.23</v>
      </c>
      <c r="I38" s="2"/>
    </row>
    <row r="39" spans="1:9" x14ac:dyDescent="0.25">
      <c r="A39" s="14" t="s">
        <v>7</v>
      </c>
    </row>
    <row r="40" spans="1:9" x14ac:dyDescent="0.25">
      <c r="A40" s="4" t="s">
        <v>20</v>
      </c>
      <c r="B40" s="5">
        <f>B41+D41</f>
        <v>12.690999999999999</v>
      </c>
      <c r="C40" s="6"/>
      <c r="D40" s="6"/>
      <c r="E40" s="6" t="s">
        <v>17</v>
      </c>
      <c r="F40" s="2">
        <f>[35]Агропродукт!$C$31</f>
        <v>18.061</v>
      </c>
      <c r="G40" s="3"/>
      <c r="H40" s="2"/>
      <c r="I40" s="2"/>
    </row>
    <row r="41" spans="1:9" x14ac:dyDescent="0.25">
      <c r="A41" s="4" t="s">
        <v>21</v>
      </c>
      <c r="B41" s="5">
        <v>6.702</v>
      </c>
      <c r="C41" s="6"/>
      <c r="D41" s="6">
        <v>5.9889999999999999</v>
      </c>
      <c r="E41" s="6"/>
      <c r="F41" s="15">
        <f>'[35]Агропродукт СН'!$C$14</f>
        <v>9.3079999999999998</v>
      </c>
      <c r="G41" s="2"/>
      <c r="H41" s="2">
        <f>('[25]16_ЛукОйл'!$B$66+'[25]16_СОЯ'!$B$67+'[25]16_Терминал'!$B$68)/1000</f>
        <v>8.9190000000000005</v>
      </c>
      <c r="I41" s="2"/>
    </row>
    <row r="42" spans="1:9" x14ac:dyDescent="0.25">
      <c r="A42" s="14" t="s">
        <v>8</v>
      </c>
    </row>
    <row r="43" spans="1:9" x14ac:dyDescent="0.25">
      <c r="A43" s="4" t="s">
        <v>20</v>
      </c>
      <c r="B43" s="5">
        <f>B44+D44</f>
        <v>13.221</v>
      </c>
      <c r="C43" s="6"/>
      <c r="D43" s="6"/>
      <c r="E43" s="6" t="s">
        <v>17</v>
      </c>
      <c r="F43" s="2">
        <f>[36]Агропродукт!$C$31</f>
        <v>18.207999999999998</v>
      </c>
      <c r="G43" s="3"/>
      <c r="H43" s="2"/>
      <c r="I43" s="2"/>
    </row>
    <row r="44" spans="1:9" x14ac:dyDescent="0.25">
      <c r="A44" s="4" t="s">
        <v>21</v>
      </c>
      <c r="B44" s="5">
        <v>6.5709999999999997</v>
      </c>
      <c r="C44" s="6"/>
      <c r="D44" s="6">
        <v>6.65</v>
      </c>
      <c r="E44" s="6"/>
      <c r="F44" s="15">
        <f>'[36]Агропродукт СН'!$C$14</f>
        <v>8.8320000000000007</v>
      </c>
      <c r="G44" s="2"/>
      <c r="H44" s="2">
        <f>('[25]16_ЛукОйл'!$B$72+'[25]16_СОЯ'!$B$73+'[25]16_Терминал'!$B$74)/1000</f>
        <v>9.952</v>
      </c>
      <c r="I44" s="2"/>
    </row>
  </sheetData>
  <mergeCells count="6">
    <mergeCell ref="A1:I1"/>
    <mergeCell ref="B6:E6"/>
    <mergeCell ref="F6:I6"/>
    <mergeCell ref="A7:A8"/>
    <mergeCell ref="B7:E7"/>
    <mergeCell ref="F7:I7"/>
  </mergeCells>
  <pageMargins left="0.7" right="0.7" top="0.75" bottom="0.75" header="0.3" footer="0.3"/>
  <pageSetup orientation="portrait" r:id="rId1"/>
  <headerFooter>
    <oddHeader>&amp;L&amp;"Calibri"&amp;9&amp;K000000Corporate&amp;1#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Petova Ekaterina | Петова Екатерина Викторовна</dc:creator>
  <cp:lastModifiedBy>Eremeeva Anastasiya | Еремеева Анастасия Сергеевна</cp:lastModifiedBy>
  <cp:lastPrinted>2019-09-16T09:56:14Z</cp:lastPrinted>
  <dcterms:created xsi:type="dcterms:W3CDTF">2018-02-19T08:20:04Z</dcterms:created>
  <dcterms:modified xsi:type="dcterms:W3CDTF">2024-04-19T09:41:50Z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9b7306a-aece-4268-babb-04883c5f5751_Enabled">
    <vt:lpwstr>true</vt:lpwstr>
  </property>
  <property fmtid="{D5CDD505-2E9C-101B-9397-08002B2CF9AE}" pid="3" name="MSIP_Label_a9b7306a-aece-4268-babb-04883c5f5751_SetDate">
    <vt:lpwstr>2023-02-17T09:07:16Z</vt:lpwstr>
  </property>
  <property fmtid="{D5CDD505-2E9C-101B-9397-08002B2CF9AE}" pid="4" name="MSIP_Label_a9b7306a-aece-4268-babb-04883c5f5751_Method">
    <vt:lpwstr>Standard</vt:lpwstr>
  </property>
  <property fmtid="{D5CDD505-2E9C-101B-9397-08002B2CF9AE}" pid="5" name="MSIP_Label_a9b7306a-aece-4268-babb-04883c5f5751_Name">
    <vt:lpwstr>a9b7306a-aece-4268-babb-04883c5f5751</vt:lpwstr>
  </property>
  <property fmtid="{D5CDD505-2E9C-101B-9397-08002B2CF9AE}" pid="6" name="MSIP_Label_a9b7306a-aece-4268-babb-04883c5f5751_SiteId">
    <vt:lpwstr>3e0d939a-cfe4-4357-8a98-585d4ae584d0</vt:lpwstr>
  </property>
  <property fmtid="{D5CDD505-2E9C-101B-9397-08002B2CF9AE}" pid="7" name="MSIP_Label_a9b7306a-aece-4268-babb-04883c5f5751_ActionId">
    <vt:lpwstr>516d3250-5980-48e3-add6-fd1a7914c068</vt:lpwstr>
  </property>
  <property fmtid="{D5CDD505-2E9C-101B-9397-08002B2CF9AE}" pid="8" name="MSIP_Label_a9b7306a-aece-4268-babb-04883c5f5751_ContentBits">
    <vt:lpwstr>1</vt:lpwstr>
  </property>
</Properties>
</file>